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1085"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2"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住宅" sheetId="21" r:id="rId41"/>
    <sheet name="Sheet1" sheetId="68"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40">'不动产比较法-住宅'!$A$1:$K$54,'不动产比较法-住宅'!$A$57:$M$131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2" i="39" l="1"/>
  <c r="F11" i="39"/>
  <c r="AA11" i="39"/>
  <c r="B84" i="39"/>
  <c r="F14" i="39"/>
  <c r="AA14" i="39"/>
  <c r="B86" i="39"/>
  <c r="F15" i="39"/>
  <c r="AA15" i="39"/>
  <c r="B88" i="39"/>
  <c r="F16" i="39"/>
  <c r="AA16" i="39"/>
  <c r="B106" i="39"/>
  <c r="F33" i="39"/>
  <c r="AA33" i="39"/>
  <c r="F34" i="39"/>
  <c r="AA34" i="39"/>
  <c r="F36" i="39"/>
  <c r="AA36" i="39"/>
  <c r="B112" i="39"/>
  <c r="F37" i="39"/>
  <c r="AA37" i="39"/>
  <c r="B114" i="39"/>
  <c r="F38" i="39"/>
  <c r="AA38" i="39"/>
  <c r="B116" i="39"/>
  <c r="F39" i="39"/>
  <c r="AA39" i="39"/>
  <c r="F17" i="39"/>
  <c r="AA17" i="39"/>
  <c r="F23" i="39"/>
  <c r="AA23" i="39"/>
  <c r="F25" i="39"/>
  <c r="AA25" i="39"/>
  <c r="F27" i="39"/>
  <c r="AA27" i="39"/>
  <c r="F29" i="39"/>
  <c r="AA29" i="39"/>
  <c r="F31" i="39"/>
  <c r="AA31" i="39"/>
  <c r="F41" i="39"/>
  <c r="AA41" i="39"/>
  <c r="F42" i="39"/>
  <c r="AA42" i="39"/>
  <c r="F43" i="39"/>
  <c r="AA43" i="39"/>
  <c r="F44" i="39"/>
  <c r="AA44" i="39"/>
  <c r="D83" i="39"/>
  <c r="E83" i="39"/>
  <c r="F13" i="39"/>
  <c r="AA13" i="39"/>
  <c r="B129" i="39"/>
  <c r="F45" i="39"/>
  <c r="AA45" i="39"/>
  <c r="B131" i="39"/>
  <c r="F46" i="39"/>
  <c r="AA46" i="39"/>
  <c r="B133" i="39"/>
  <c r="F47" i="39"/>
  <c r="AA47" i="39"/>
  <c r="R49" i="39"/>
  <c r="H11" i="39"/>
  <c r="AB11" i="39"/>
  <c r="H14" i="39"/>
  <c r="AB14" i="39"/>
  <c r="H15" i="39"/>
  <c r="AB15" i="39"/>
  <c r="H16" i="39"/>
  <c r="AB16" i="39"/>
  <c r="H33" i="39"/>
  <c r="AB33" i="39"/>
  <c r="H34" i="39"/>
  <c r="AB34" i="39"/>
  <c r="H36" i="39"/>
  <c r="AB36" i="39"/>
  <c r="H37" i="39"/>
  <c r="AB37" i="39"/>
  <c r="H38" i="39"/>
  <c r="AB38" i="39"/>
  <c r="H39" i="39"/>
  <c r="AB39" i="39"/>
  <c r="H17" i="39"/>
  <c r="AB17" i="39"/>
  <c r="H23" i="39"/>
  <c r="AB23" i="39"/>
  <c r="H25" i="39"/>
  <c r="AB25" i="39"/>
  <c r="H27" i="39"/>
  <c r="AB27" i="39"/>
  <c r="H29" i="39"/>
  <c r="AB29" i="39"/>
  <c r="H31" i="39"/>
  <c r="AB31" i="39"/>
  <c r="H41" i="39"/>
  <c r="AB41" i="39"/>
  <c r="H42" i="39"/>
  <c r="AB42" i="39"/>
  <c r="H43" i="39"/>
  <c r="AB43" i="39"/>
  <c r="H44" i="39"/>
  <c r="AB44" i="39"/>
  <c r="F83" i="39"/>
  <c r="H13" i="39"/>
  <c r="AB13" i="39"/>
  <c r="H45" i="39"/>
  <c r="AB45" i="39"/>
  <c r="H46" i="39"/>
  <c r="AB46" i="39"/>
  <c r="H47" i="39"/>
  <c r="AB47" i="39"/>
  <c r="T49" i="39"/>
  <c r="J11" i="39"/>
  <c r="AC11" i="39"/>
  <c r="J14" i="39"/>
  <c r="AC14" i="39"/>
  <c r="J15" i="39"/>
  <c r="AC15" i="39"/>
  <c r="J16" i="39"/>
  <c r="AC16" i="39"/>
  <c r="J33" i="39"/>
  <c r="AC33" i="39"/>
  <c r="J34" i="39"/>
  <c r="AC34" i="39"/>
  <c r="J36" i="39"/>
  <c r="AC36" i="39"/>
  <c r="J37" i="39"/>
  <c r="AC37" i="39"/>
  <c r="J38" i="39"/>
  <c r="AC38" i="39"/>
  <c r="J39" i="39"/>
  <c r="AC39" i="39"/>
  <c r="J17" i="39"/>
  <c r="AC17" i="39"/>
  <c r="J23" i="39"/>
  <c r="AC23" i="39"/>
  <c r="J25" i="39"/>
  <c r="AC25" i="39"/>
  <c r="J27" i="39"/>
  <c r="AC27" i="39"/>
  <c r="J29" i="39"/>
  <c r="AC29" i="39"/>
  <c r="J31" i="39"/>
  <c r="AC31" i="39"/>
  <c r="J41" i="39"/>
  <c r="AC41" i="39"/>
  <c r="J42" i="39"/>
  <c r="AC42" i="39"/>
  <c r="J43" i="39"/>
  <c r="AC43" i="39"/>
  <c r="J44" i="39"/>
  <c r="AC44" i="39"/>
  <c r="J13" i="39"/>
  <c r="AC13" i="39"/>
  <c r="J45" i="39"/>
  <c r="AC45" i="39"/>
  <c r="J46" i="39"/>
  <c r="AC46" i="39"/>
  <c r="J47" i="39"/>
  <c r="AC47"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3" i="12"/>
  <c r="C14" i="12" s="1"/>
  <c r="C15" i="12"/>
  <c r="D16" i="12"/>
  <c r="C16" i="12" s="1"/>
  <c r="C17" i="12"/>
  <c r="D19" i="12"/>
  <c r="C19" i="12" s="1"/>
  <c r="D21" i="12"/>
  <c r="C21" i="12" s="1"/>
  <c r="D22" i="12"/>
  <c r="C22" i="12" s="1"/>
  <c r="F10" i="21"/>
  <c r="AA10" i="21"/>
  <c r="C63" i="21"/>
  <c r="F9" i="21"/>
  <c r="AA9"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F38" i="21"/>
  <c r="AA38" i="21"/>
  <c r="F39" i="21"/>
  <c r="AA39" i="21"/>
  <c r="F40" i="21"/>
  <c r="AA40" i="21"/>
  <c r="F41" i="21"/>
  <c r="AA41" i="21"/>
  <c r="F42" i="21"/>
  <c r="AA42" i="21"/>
  <c r="F43" i="21"/>
  <c r="AA43" i="21"/>
  <c r="E47" i="21"/>
  <c r="R47" i="21"/>
  <c r="B128" i="21"/>
  <c r="F45" i="21"/>
  <c r="AA45" i="21"/>
  <c r="B130" i="21"/>
  <c r="F46" i="21"/>
  <c r="AA46" i="21"/>
  <c r="F33" i="21"/>
  <c r="AA33" i="21"/>
  <c r="R48" i="21"/>
  <c r="H10" i="21"/>
  <c r="AB10" i="21"/>
  <c r="H9" i="21"/>
  <c r="AB9" i="21"/>
  <c r="H25" i="21"/>
  <c r="AB25" i="21"/>
  <c r="H26" i="21"/>
  <c r="AB26" i="21"/>
  <c r="H27" i="21"/>
  <c r="AB27" i="21"/>
  <c r="H28" i="21"/>
  <c r="AB28" i="21"/>
  <c r="H29" i="21"/>
  <c r="AB29" i="21"/>
  <c r="H30" i="21"/>
  <c r="AB30" i="21"/>
  <c r="H31" i="21"/>
  <c r="AB31" i="21"/>
  <c r="H34" i="21"/>
  <c r="AB34" i="21"/>
  <c r="H35" i="21"/>
  <c r="AB35" i="21"/>
  <c r="H36" i="21"/>
  <c r="AB36" i="21"/>
  <c r="H38" i="21"/>
  <c r="AB38" i="21"/>
  <c r="H39" i="21"/>
  <c r="AB39" i="21"/>
  <c r="H40" i="21"/>
  <c r="AB40" i="21"/>
  <c r="H41" i="21"/>
  <c r="AB41" i="21"/>
  <c r="H42" i="21"/>
  <c r="AB42" i="21"/>
  <c r="H43" i="21"/>
  <c r="AB43" i="21"/>
  <c r="G47" i="21"/>
  <c r="T47" i="21"/>
  <c r="H45" i="21"/>
  <c r="AB45" i="21"/>
  <c r="H46" i="21"/>
  <c r="AB46" i="21"/>
  <c r="H33" i="21"/>
  <c r="AB33" i="21"/>
  <c r="T48" i="21"/>
  <c r="J10" i="21"/>
  <c r="AC10" i="21"/>
  <c r="J9" i="21"/>
  <c r="AC9" i="21"/>
  <c r="J25" i="21"/>
  <c r="AC25" i="21"/>
  <c r="J26" i="21"/>
  <c r="AC26" i="21"/>
  <c r="J27" i="21"/>
  <c r="AC27" i="21"/>
  <c r="J28" i="21"/>
  <c r="AC28" i="21"/>
  <c r="J29" i="21"/>
  <c r="AC29" i="21"/>
  <c r="J30" i="21"/>
  <c r="AC30" i="21"/>
  <c r="J31" i="21"/>
  <c r="AC31" i="21"/>
  <c r="J34" i="21"/>
  <c r="AC34" i="21"/>
  <c r="J35" i="21"/>
  <c r="AC35" i="21"/>
  <c r="J36" i="21"/>
  <c r="AC36" i="21"/>
  <c r="J38" i="21"/>
  <c r="AC38" i="21"/>
  <c r="J39" i="21"/>
  <c r="AC39" i="21"/>
  <c r="J40" i="21"/>
  <c r="AC40" i="21"/>
  <c r="J41" i="21"/>
  <c r="AC41" i="21"/>
  <c r="J42" i="21"/>
  <c r="AC42" i="21"/>
  <c r="J43" i="21"/>
  <c r="AC43" i="21"/>
  <c r="I47" i="21"/>
  <c r="V47" i="21"/>
  <c r="J45" i="21"/>
  <c r="AC45" i="21"/>
  <c r="J46" i="21"/>
  <c r="AC46" i="21"/>
  <c r="J33" i="21"/>
  <c r="AC33" i="21"/>
  <c r="V48" i="21"/>
  <c r="R49" i="21"/>
  <c r="C49" i="21"/>
  <c r="B3" i="21"/>
  <c r="B2" i="21"/>
  <c r="C10" i="12"/>
  <c r="C6" i="12"/>
  <c r="C24" i="12"/>
  <c r="C29" i="12"/>
  <c r="F33" i="12"/>
  <c r="C34" i="12"/>
  <c r="D33" i="12" s="1"/>
  <c r="C15" i="66"/>
  <c r="B15" i="66"/>
  <c r="C106" i="9"/>
  <c r="I40" i="39"/>
  <c r="G40" i="39"/>
  <c r="E40" i="39"/>
  <c r="C40" i="39"/>
  <c r="I9" i="39"/>
  <c r="G9" i="39"/>
  <c r="E9" i="39"/>
  <c r="I7" i="39"/>
  <c r="G7" i="39"/>
  <c r="E7" i="39"/>
  <c r="I11" i="21"/>
  <c r="G11" i="21"/>
  <c r="E11" i="21"/>
  <c r="I5" i="21"/>
  <c r="G5" i="21"/>
  <c r="E5" i="21"/>
  <c r="E2" i="68"/>
  <c r="E1" i="68"/>
  <c r="B21" i="1"/>
  <c r="F19" i="6"/>
  <c r="I13" i="3"/>
  <c r="E20" i="46"/>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C16" i="11"/>
  <c r="C15" i="11"/>
  <c r="C14" i="11"/>
  <c r="C9" i="11"/>
  <c r="C8"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N10" i="59"/>
  <c r="AH11" i="59"/>
  <c r="AG11" i="59"/>
  <c r="AE11" i="59"/>
  <c r="AF11" i="59"/>
  <c r="AD11" i="59"/>
  <c r="Q12" i="59"/>
  <c r="Q13" i="59"/>
  <c r="P12" i="59"/>
  <c r="P13" i="59"/>
  <c r="O12" i="59"/>
  <c r="O13" i="59"/>
  <c r="N12" i="59"/>
  <c r="N13" i="59"/>
  <c r="AH12" i="59"/>
  <c r="AG12" i="59"/>
  <c r="AE12" i="59"/>
  <c r="AF12" i="59"/>
  <c r="AD12" i="59"/>
  <c r="F25" i="12"/>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c r="A10" i="55"/>
  <c r="B61" i="63"/>
  <c r="A9" i="55"/>
  <c r="B60" i="63"/>
  <c r="A8" i="55"/>
  <c r="A6" i="54"/>
  <c r="A8" i="54"/>
  <c r="A7" i="54"/>
  <c r="A27" i="51"/>
  <c r="B20" i="63"/>
  <c r="Q20" i="59"/>
  <c r="O20" i="59"/>
  <c r="N21" i="59"/>
  <c r="O21" i="59"/>
  <c r="P21" i="59"/>
  <c r="Q21" i="59"/>
  <c r="N20" i="59"/>
  <c r="P20" i="59"/>
  <c r="K75" i="9"/>
  <c r="K6" i="4"/>
  <c r="O76" i="9"/>
  <c r="L76" i="9"/>
  <c r="K76" i="9"/>
  <c r="B22" i="31"/>
  <c r="E16" i="66"/>
  <c r="F16" i="66"/>
  <c r="E17" i="66"/>
  <c r="F17" i="66"/>
  <c r="E18" i="66"/>
  <c r="F18" i="66"/>
  <c r="E19" i="66"/>
  <c r="F19" i="66"/>
  <c r="E20" i="66"/>
  <c r="F20" i="66"/>
  <c r="E21" i="66"/>
  <c r="F21" i="66"/>
  <c r="E22" i="66"/>
  <c r="F22" i="66"/>
  <c r="E23" i="66"/>
  <c r="F23" i="66"/>
  <c r="B3" i="66"/>
  <c r="B18" i="59"/>
  <c r="B17" i="59"/>
  <c r="B16" i="59"/>
  <c r="E18" i="59"/>
  <c r="E17" i="59"/>
  <c r="E16" i="59"/>
  <c r="E15" i="59"/>
  <c r="E14" i="59"/>
  <c r="E13" i="59"/>
  <c r="E12" i="59"/>
  <c r="E11" i="59"/>
  <c r="F18" i="59"/>
  <c r="V18"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3" i="65"/>
  <c r="C1" i="65"/>
  <c r="N1" i="65"/>
  <c r="B76" i="63"/>
  <c r="M5" i="54"/>
  <c r="A23" i="51"/>
  <c r="Y12" i="46"/>
  <c r="AA9" i="46"/>
  <c r="AB9" i="46"/>
  <c r="AB10" i="46"/>
  <c r="AC9" i="46"/>
  <c r="AC12" i="46"/>
  <c r="AD9" i="46"/>
  <c r="AD10" i="46"/>
  <c r="AE9" i="46"/>
  <c r="AF9" i="46"/>
  <c r="AF10" i="46"/>
  <c r="AG9" i="46"/>
  <c r="AH9" i="46"/>
  <c r="AH10" i="46"/>
  <c r="AI9" i="46"/>
  <c r="AI10" i="46"/>
  <c r="AJ9" i="46"/>
  <c r="AJ10" i="46"/>
  <c r="Z9" i="46"/>
  <c r="Z10" i="46"/>
  <c r="AG10" i="46"/>
  <c r="AE10" i="46"/>
  <c r="AC10" i="46"/>
  <c r="AA10" i="46"/>
  <c r="Y10" i="46"/>
  <c r="Z12" i="46"/>
  <c r="AI12" i="46"/>
  <c r="AG12" i="46"/>
  <c r="AE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22" i="59"/>
  <c r="F22" i="59"/>
  <c r="V22" i="59"/>
  <c r="P22" i="59"/>
  <c r="O22" i="59"/>
  <c r="N22" i="59"/>
  <c r="D83" i="59"/>
  <c r="F82" i="59"/>
  <c r="F81" i="59"/>
  <c r="E82" i="59"/>
  <c r="E81" i="59"/>
  <c r="E80" i="59"/>
  <c r="C82" i="59"/>
  <c r="D82" i="59"/>
  <c r="B82" i="59"/>
  <c r="B81" i="59"/>
  <c r="F80" i="59"/>
  <c r="B80" i="59"/>
  <c r="D79" i="59"/>
  <c r="F78" i="59"/>
  <c r="F77" i="59"/>
  <c r="E78" i="59"/>
  <c r="E77" i="59"/>
  <c r="E76" i="59"/>
  <c r="C78" i="59"/>
  <c r="B78" i="59"/>
  <c r="B77" i="59"/>
  <c r="F76" i="59"/>
  <c r="B76" i="59"/>
  <c r="D75" i="59"/>
  <c r="Q74" i="59"/>
  <c r="P74" i="59"/>
  <c r="O74" i="59"/>
  <c r="N74" i="59"/>
  <c r="F74" i="59"/>
  <c r="V74" i="59"/>
  <c r="E74" i="59"/>
  <c r="U74" i="59"/>
  <c r="C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B61" i="59"/>
  <c r="N61" i="59"/>
  <c r="D59" i="59"/>
  <c r="Q58" i="59"/>
  <c r="P58" i="59"/>
  <c r="O58" i="59"/>
  <c r="N58" i="59"/>
  <c r="Q57" i="59"/>
  <c r="P57" i="59"/>
  <c r="O57" i="59"/>
  <c r="N57" i="59"/>
  <c r="Q56" i="59"/>
  <c r="P56" i="59"/>
  <c r="O56" i="59"/>
  <c r="N56" i="59"/>
  <c r="Q55" i="59"/>
  <c r="F56" i="59"/>
  <c r="F57" i="59"/>
  <c r="F58" i="59"/>
  <c r="V58" i="59"/>
  <c r="P55" i="59"/>
  <c r="E56" i="59"/>
  <c r="E57" i="59"/>
  <c r="E58" i="59"/>
  <c r="U58" i="59"/>
  <c r="O55" i="59"/>
  <c r="C56" i="59"/>
  <c r="D56" i="59"/>
  <c r="N55" i="59"/>
  <c r="B56" i="59"/>
  <c r="B57" i="59"/>
  <c r="B58" i="59"/>
  <c r="S58" i="59"/>
  <c r="D55" i="59"/>
  <c r="Q54" i="59"/>
  <c r="P54" i="59"/>
  <c r="O54" i="59"/>
  <c r="N54" i="59"/>
  <c r="Q53" i="59"/>
  <c r="P53" i="59"/>
  <c r="O53" i="59"/>
  <c r="N53" i="59"/>
  <c r="Q52" i="59"/>
  <c r="P52" i="59"/>
  <c r="O52" i="59"/>
  <c r="N52" i="59"/>
  <c r="Q51" i="59"/>
  <c r="F52" i="59"/>
  <c r="F53" i="59"/>
  <c r="P51" i="59"/>
  <c r="E52" i="59"/>
  <c r="E53" i="59"/>
  <c r="E54" i="59"/>
  <c r="U54" i="59"/>
  <c r="O51" i="59"/>
  <c r="C52" i="59"/>
  <c r="D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O43" i="59"/>
  <c r="C44" i="59"/>
  <c r="D44" i="59"/>
  <c r="N43" i="59"/>
  <c r="B44" i="59"/>
  <c r="D43" i="59"/>
  <c r="T42" i="59"/>
  <c r="Q42" i="59"/>
  <c r="P42" i="59"/>
  <c r="O42" i="59"/>
  <c r="N42" i="59"/>
  <c r="D42" i="59"/>
  <c r="Q41" i="59"/>
  <c r="P41" i="59"/>
  <c r="O41" i="59"/>
  <c r="N41" i="59"/>
  <c r="Q40" i="59"/>
  <c r="P40" i="59"/>
  <c r="O40" i="59"/>
  <c r="N40" i="59"/>
  <c r="Q39" i="59"/>
  <c r="F40" i="59"/>
  <c r="F41"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C37" i="59"/>
  <c r="C38" i="59"/>
  <c r="N35" i="59"/>
  <c r="B36" i="59"/>
  <c r="B37" i="59"/>
  <c r="B38" i="59"/>
  <c r="S38" i="59"/>
  <c r="D35" i="59"/>
  <c r="Q34" i="59"/>
  <c r="P34" i="59"/>
  <c r="O34" i="59"/>
  <c r="N34" i="59"/>
  <c r="Q33" i="59"/>
  <c r="AB33" i="59"/>
  <c r="P33" i="59"/>
  <c r="AA21" i="59"/>
  <c r="O33" i="59"/>
  <c r="Y33" i="59"/>
  <c r="Z33" i="59"/>
  <c r="N33" i="59"/>
  <c r="X33" i="59"/>
  <c r="Q32" i="59"/>
  <c r="AB32" i="59"/>
  <c r="P32" i="59"/>
  <c r="O32" i="59"/>
  <c r="Y32" i="59"/>
  <c r="Z32" i="59"/>
  <c r="N32" i="59"/>
  <c r="X32" i="59"/>
  <c r="Q31" i="59"/>
  <c r="P31" i="59"/>
  <c r="O31" i="59"/>
  <c r="C32" i="59"/>
  <c r="N31" i="59"/>
  <c r="X31" i="59"/>
  <c r="B32" i="59"/>
  <c r="B33" i="59"/>
  <c r="B34" i="59"/>
  <c r="S34" i="59"/>
  <c r="D31" i="59"/>
  <c r="Q30" i="59"/>
  <c r="P30" i="59"/>
  <c r="O30" i="59"/>
  <c r="Y30" i="59"/>
  <c r="Z30" i="59"/>
  <c r="N30" i="59"/>
  <c r="X30" i="59"/>
  <c r="Q29" i="59"/>
  <c r="AB29" i="59"/>
  <c r="P29" i="59"/>
  <c r="O29" i="59"/>
  <c r="N29" i="59"/>
  <c r="X29" i="59"/>
  <c r="Q28" i="59"/>
  <c r="P28" i="59"/>
  <c r="O28" i="59"/>
  <c r="Y28" i="59"/>
  <c r="Z28" i="59"/>
  <c r="N28" i="59"/>
  <c r="X28" i="59"/>
  <c r="Q27" i="59"/>
  <c r="AB27" i="59"/>
  <c r="F28" i="59"/>
  <c r="P27" i="59"/>
  <c r="E28" i="59"/>
  <c r="E29" i="59"/>
  <c r="E30" i="59"/>
  <c r="U30" i="59"/>
  <c r="O27" i="59"/>
  <c r="N27" i="59"/>
  <c r="X3" i="59"/>
  <c r="D27" i="59"/>
  <c r="Q26" i="59"/>
  <c r="AB26" i="59"/>
  <c r="P26" i="59"/>
  <c r="O26" i="59"/>
  <c r="Y26" i="59"/>
  <c r="Z26" i="59"/>
  <c r="N26" i="59"/>
  <c r="Q25" i="59"/>
  <c r="AB25" i="59"/>
  <c r="P25" i="59"/>
  <c r="O25" i="59"/>
  <c r="Y25" i="59"/>
  <c r="Z25" i="59"/>
  <c r="N25" i="59"/>
  <c r="Q24" i="59"/>
  <c r="AB24" i="59"/>
  <c r="P24" i="59"/>
  <c r="O24" i="59"/>
  <c r="Y24" i="59"/>
  <c r="Z24" i="59"/>
  <c r="N24" i="59"/>
  <c r="Q23" i="59"/>
  <c r="AB19" i="59"/>
  <c r="P23" i="59"/>
  <c r="O23" i="59"/>
  <c r="C24" i="59"/>
  <c r="N23" i="59"/>
  <c r="X23" i="59"/>
  <c r="B24" i="59"/>
  <c r="B25" i="59"/>
  <c r="D23" i="59"/>
  <c r="X20" i="59"/>
  <c r="AA19" i="59"/>
  <c r="Y19" i="59"/>
  <c r="Z19" i="59"/>
  <c r="Y21" i="59"/>
  <c r="Z21" i="59"/>
  <c r="AB22" i="59"/>
  <c r="AB21" i="59"/>
  <c r="B26" i="59"/>
  <c r="S26" i="59"/>
  <c r="E24" i="59"/>
  <c r="E25" i="59"/>
  <c r="E26" i="59"/>
  <c r="U26" i="59"/>
  <c r="B45" i="59"/>
  <c r="B46" i="59"/>
  <c r="S46" i="59"/>
  <c r="E46" i="59"/>
  <c r="U46" i="59"/>
  <c r="S62" i="59"/>
  <c r="AA33" i="59"/>
  <c r="F29" i="59"/>
  <c r="F30" i="59"/>
  <c r="V30" i="59"/>
  <c r="F42" i="59"/>
  <c r="V42" i="59"/>
  <c r="F49" i="59"/>
  <c r="F50" i="59"/>
  <c r="V50" i="59"/>
  <c r="F54" i="59"/>
  <c r="V54" i="59"/>
  <c r="D24" i="59"/>
  <c r="D32" i="59"/>
  <c r="C45" i="59"/>
  <c r="C49" i="59"/>
  <c r="C50" i="59"/>
  <c r="C57" i="59"/>
  <c r="C58" i="59"/>
  <c r="E60" i="59"/>
  <c r="P59" i="59"/>
  <c r="B60" i="59"/>
  <c r="N59" i="59"/>
  <c r="Q61" i="59"/>
  <c r="T62" i="59"/>
  <c r="D62" i="59"/>
  <c r="P62" i="59"/>
  <c r="U62" i="59"/>
  <c r="Q62" i="59"/>
  <c r="E65" i="59"/>
  <c r="E64" i="59"/>
  <c r="D66" i="59"/>
  <c r="C69" i="59"/>
  <c r="E69" i="59"/>
  <c r="E68" i="59"/>
  <c r="D70" i="59"/>
  <c r="E73" i="59"/>
  <c r="E72" i="59"/>
  <c r="D74" i="59"/>
  <c r="C81" i="59"/>
  <c r="D81" i="59"/>
  <c r="U16" i="4"/>
  <c r="S16" i="4"/>
  <c r="Q16" i="4"/>
  <c r="O16" i="4"/>
  <c r="M16" i="4"/>
  <c r="K16" i="4"/>
  <c r="L16" i="4"/>
  <c r="K17" i="4"/>
  <c r="A22" i="51"/>
  <c r="B16" i="63"/>
  <c r="P60" i="59"/>
  <c r="C80" i="59"/>
  <c r="D80" i="59"/>
  <c r="D69" i="59"/>
  <c r="C68" i="59"/>
  <c r="D68" i="59"/>
  <c r="N60" i="59"/>
  <c r="D57" i="59"/>
  <c r="D49" i="59"/>
  <c r="C46" i="59"/>
  <c r="D45" i="59"/>
  <c r="D37" i="59"/>
  <c r="N16" i="4"/>
  <c r="T46" i="59"/>
  <c r="D46"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G20" i="20"/>
  <c r="B85" i="46"/>
  <c r="C22" i="20"/>
  <c r="B65" i="46"/>
  <c r="S18" i="36"/>
  <c r="S18" i="35"/>
  <c r="S21" i="37"/>
  <c r="S31" i="39"/>
  <c r="C31" i="39"/>
  <c r="B74" i="46"/>
  <c r="E66" i="36"/>
  <c r="H18" i="35"/>
  <c r="J18" i="35"/>
  <c r="H21" i="37"/>
  <c r="J21" i="37"/>
  <c r="E84" i="34"/>
  <c r="F84" i="34"/>
  <c r="G84" i="34"/>
  <c r="J21" i="34"/>
  <c r="H21" i="34"/>
  <c r="F21" i="33"/>
  <c r="H21" i="33"/>
  <c r="J21" i="33"/>
  <c r="F83" i="21"/>
  <c r="H21" i="21"/>
  <c r="G83" i="21"/>
  <c r="J21" i="21"/>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40" i="39"/>
  <c r="AA40" i="39"/>
  <c r="H10" i="39"/>
  <c r="AB10" i="39"/>
  <c r="H40" i="39"/>
  <c r="AB40" i="39"/>
  <c r="J10" i="39"/>
  <c r="AC10" i="39"/>
  <c r="J40" i="39"/>
  <c r="AC40" i="39"/>
  <c r="F35" i="44"/>
  <c r="M21" i="44"/>
  <c r="F20" i="44"/>
  <c r="C6" i="43"/>
  <c r="K9" i="43"/>
  <c r="J9" i="43"/>
  <c r="I9" i="43"/>
  <c r="H9" i="43"/>
  <c r="G9" i="43"/>
  <c r="F9" i="43"/>
  <c r="E9" i="43"/>
  <c r="D9" i="43"/>
  <c r="C9"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c r="F124" i="39"/>
  <c r="G124" i="39"/>
  <c r="H124" i="39"/>
  <c r="I124" i="39"/>
  <c r="J124" i="39"/>
  <c r="K124" i="39"/>
  <c r="L124" i="39"/>
  <c r="M124"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F40" i="37"/>
  <c r="D107" i="37"/>
  <c r="E107" i="37"/>
  <c r="F107" i="37"/>
  <c r="G107" i="37"/>
  <c r="D105" i="37"/>
  <c r="E105" i="37"/>
  <c r="F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H27" i="35"/>
  <c r="F27" i="35"/>
  <c r="AA27" i="35"/>
  <c r="J22" i="35"/>
  <c r="AC22" i="35"/>
  <c r="B101" i="35"/>
  <c r="B99" i="35"/>
  <c r="B97" i="35"/>
  <c r="B77" i="35"/>
  <c r="B75" i="35"/>
  <c r="J24" i="35"/>
  <c r="B73" i="35"/>
  <c r="J23" i="35"/>
  <c r="W23" i="35"/>
  <c r="B57" i="35"/>
  <c r="B61" i="35"/>
  <c r="B59" i="35"/>
  <c r="H12" i="35"/>
  <c r="B131" i="34"/>
  <c r="B129" i="34"/>
  <c r="B127" i="34"/>
  <c r="B99" i="34"/>
  <c r="B97" i="34"/>
  <c r="B95" i="34"/>
  <c r="B93" i="34"/>
  <c r="B75" i="34"/>
  <c r="B73" i="34"/>
  <c r="B71" i="34"/>
  <c r="B130" i="33"/>
  <c r="B128"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c r="D58" i="33"/>
  <c r="E58" i="33"/>
  <c r="F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G81" i="21"/>
  <c r="D77" i="21"/>
  <c r="E77" i="21"/>
  <c r="B126" i="21"/>
  <c r="B74" i="21"/>
  <c r="J14" i="21"/>
  <c r="AC14" i="21"/>
  <c r="B72" i="21"/>
  <c r="B7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F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U34" i="21"/>
  <c r="S43" i="21"/>
  <c r="F32" i="21"/>
  <c r="S32" i="21"/>
  <c r="S38" i="21"/>
  <c r="S36" i="21"/>
  <c r="W40" i="21"/>
  <c r="J8" i="21"/>
  <c r="AC8" i="21"/>
  <c r="H8" i="21"/>
  <c r="U8" i="21"/>
  <c r="U10" i="21"/>
  <c r="W34" i="21"/>
  <c r="U36" i="21"/>
  <c r="U33" i="21"/>
  <c r="F19" i="21"/>
  <c r="H19" i="21"/>
  <c r="AB19" i="21"/>
  <c r="J19" i="21"/>
  <c r="W19" i="21"/>
  <c r="J12" i="21"/>
  <c r="W26" i="21"/>
  <c r="S41" i="21"/>
  <c r="W41" i="21"/>
  <c r="S10" i="39"/>
  <c r="U30" i="37"/>
  <c r="F103" i="37"/>
  <c r="F39" i="37"/>
  <c r="S39" i="37"/>
  <c r="W39" i="37"/>
  <c r="F29" i="36"/>
  <c r="AA29" i="36"/>
  <c r="F16" i="36"/>
  <c r="AA16" i="36"/>
  <c r="U22" i="36"/>
  <c r="W23" i="36"/>
  <c r="W22" i="36"/>
  <c r="U26" i="36"/>
  <c r="AC31" i="36"/>
  <c r="W33" i="36"/>
  <c r="U31" i="35"/>
  <c r="W36" i="35"/>
  <c r="S31" i="35"/>
  <c r="W31" i="35"/>
  <c r="U34" i="35"/>
  <c r="F36" i="34"/>
  <c r="S36" i="34"/>
  <c r="S34" i="34"/>
  <c r="W39" i="34"/>
  <c r="H39" i="33"/>
  <c r="AB39" i="33"/>
  <c r="F26" i="33"/>
  <c r="AA26" i="33"/>
  <c r="U33" i="33"/>
  <c r="W38" i="33"/>
  <c r="S40" i="33"/>
  <c r="S33" i="33"/>
  <c r="W33" i="33"/>
  <c r="U38" i="33"/>
  <c r="H39" i="37"/>
  <c r="AB39" i="37"/>
  <c r="S10" i="40"/>
  <c r="W10" i="40"/>
  <c r="S11" i="40"/>
  <c r="U11" i="40"/>
  <c r="S36" i="40"/>
  <c r="U36" i="40"/>
  <c r="S40" i="39"/>
  <c r="S36" i="39"/>
  <c r="F11" i="21"/>
  <c r="S11" i="21"/>
  <c r="C29" i="39"/>
  <c r="C23" i="39"/>
  <c r="U36" i="39"/>
  <c r="S42" i="39"/>
  <c r="H32" i="33"/>
  <c r="AB32" i="33"/>
  <c r="H11" i="21"/>
  <c r="U11" i="21"/>
  <c r="J11" i="21"/>
  <c r="W11" i="21"/>
  <c r="F100" i="40"/>
  <c r="F86" i="40"/>
  <c r="AA12" i="33"/>
  <c r="J27" i="36"/>
  <c r="W27" i="36"/>
  <c r="J34" i="36"/>
  <c r="W34" i="36"/>
  <c r="J30" i="35"/>
  <c r="W30" i="35"/>
  <c r="F22" i="35"/>
  <c r="H10" i="35"/>
  <c r="U10" i="35"/>
  <c r="AC24" i="36"/>
  <c r="U24" i="36"/>
  <c r="E85" i="36"/>
  <c r="F85" i="36"/>
  <c r="G85" i="36"/>
  <c r="H85" i="36"/>
  <c r="I85" i="36"/>
  <c r="J85" i="36"/>
  <c r="K85" i="36"/>
  <c r="L85" i="36"/>
  <c r="M85" i="36"/>
  <c r="J29" i="36"/>
  <c r="AC29" i="36"/>
  <c r="F12" i="36"/>
  <c r="S12" i="36"/>
  <c r="F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F33" i="34"/>
  <c r="S33" i="34"/>
  <c r="F19" i="34"/>
  <c r="AA19" i="34"/>
  <c r="J10" i="34"/>
  <c r="AC10" i="34"/>
  <c r="W8" i="34"/>
  <c r="S38" i="33"/>
  <c r="E113" i="33"/>
  <c r="F36" i="33"/>
  <c r="S36" i="33"/>
  <c r="F19" i="33"/>
  <c r="S19" i="33"/>
  <c r="J19" i="33"/>
  <c r="W40" i="33"/>
  <c r="G86" i="40"/>
  <c r="H29" i="35"/>
  <c r="U34" i="37"/>
  <c r="S34" i="37"/>
  <c r="AA34" i="37"/>
  <c r="AC43" i="34"/>
  <c r="AB42" i="34"/>
  <c r="AB40" i="34"/>
  <c r="W36" i="34"/>
  <c r="J19" i="34"/>
  <c r="AC19" i="34"/>
  <c r="F113" i="33"/>
  <c r="G113" i="33"/>
  <c r="H113" i="33"/>
  <c r="I113" i="33"/>
  <c r="J113" i="33"/>
  <c r="K113" i="33"/>
  <c r="L113" i="33"/>
  <c r="M113" i="33"/>
  <c r="H37" i="33"/>
  <c r="AB37" i="33"/>
  <c r="S37" i="33"/>
  <c r="AC42" i="34"/>
  <c r="W42" i="34"/>
  <c r="AA42" i="34"/>
  <c r="S42" i="34"/>
  <c r="AC38" i="34"/>
  <c r="W38" i="34"/>
  <c r="AA38" i="34"/>
  <c r="S38" i="34"/>
  <c r="J37" i="33"/>
  <c r="J44" i="34"/>
  <c r="AC44" i="34"/>
  <c r="F44" i="34"/>
  <c r="S44" i="34"/>
  <c r="J10" i="35"/>
  <c r="W10" i="35"/>
  <c r="AL5" i="3"/>
  <c r="BQ13" i="3"/>
  <c r="BL13" i="3"/>
  <c r="F14" i="21"/>
  <c r="AA14" i="21"/>
  <c r="H14" i="21"/>
  <c r="S28" i="21"/>
  <c r="J44" i="21"/>
  <c r="AC44" i="21"/>
  <c r="H44" i="21"/>
  <c r="U44" i="21"/>
  <c r="F44" i="21"/>
  <c r="AA44" i="21"/>
  <c r="W46" i="21"/>
  <c r="H28" i="33"/>
  <c r="AB28" i="33"/>
  <c r="F33" i="35"/>
  <c r="S33" i="35"/>
  <c r="J33" i="35"/>
  <c r="W33" i="35"/>
  <c r="F30" i="35"/>
  <c r="AA30" i="35"/>
  <c r="F89" i="35"/>
  <c r="G89" i="35"/>
  <c r="H89" i="35"/>
  <c r="I89" i="35"/>
  <c r="J89" i="35"/>
  <c r="K89" i="35"/>
  <c r="L89" i="35"/>
  <c r="M89" i="35"/>
  <c r="H10" i="36"/>
  <c r="AB10" i="36"/>
  <c r="F28" i="36"/>
  <c r="S28" i="36"/>
  <c r="F27" i="36"/>
  <c r="S27" i="36"/>
  <c r="H13" i="21"/>
  <c r="J13" i="21"/>
  <c r="AC13" i="21"/>
  <c r="F13" i="21"/>
  <c r="AA13" i="21"/>
  <c r="W27" i="21"/>
  <c r="U29" i="21"/>
  <c r="S29" i="21"/>
  <c r="U31" i="21"/>
  <c r="S31" i="21"/>
  <c r="W45" i="21"/>
  <c r="U45" i="21"/>
  <c r="J27" i="33"/>
  <c r="AC27" i="33"/>
  <c r="F27" i="33"/>
  <c r="F13" i="33"/>
  <c r="S13" i="33"/>
  <c r="J29" i="33"/>
  <c r="W29" i="33"/>
  <c r="J31" i="33"/>
  <c r="AC31" i="33"/>
  <c r="H31" i="33"/>
  <c r="U31" i="33"/>
  <c r="S31"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J40" i="37"/>
  <c r="AC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J27" i="37"/>
  <c r="W27" i="37"/>
  <c r="AB13" i="35"/>
  <c r="U30" i="33"/>
  <c r="J36" i="37"/>
  <c r="AC36" i="37"/>
  <c r="G105" i="37"/>
  <c r="AB28" i="36"/>
  <c r="S46" i="21"/>
  <c r="W14" i="21"/>
  <c r="S46" i="33"/>
  <c r="U36" i="37"/>
  <c r="AC13" i="36"/>
  <c r="AB27" i="33"/>
  <c r="G529" i="3"/>
  <c r="G521" i="3"/>
  <c r="G517" i="3"/>
  <c r="G513" i="3"/>
  <c r="G508" i="3"/>
  <c r="G493" i="3"/>
  <c r="G485" i="3"/>
  <c r="G17" i="3"/>
  <c r="G565" i="3"/>
  <c r="G561" i="3"/>
  <c r="G557" i="3"/>
  <c r="G549" i="3"/>
  <c r="G545" i="3"/>
  <c r="G539" i="3"/>
  <c r="BL569" i="3"/>
  <c r="AZ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c r="BA559" i="3"/>
  <c r="AZ559" i="3"/>
  <c r="BA557" i="3"/>
  <c r="AZ557" i="3"/>
  <c r="BA555" i="3"/>
  <c r="AZ555" i="3"/>
  <c r="BA551" i="3"/>
  <c r="AZ551" i="3"/>
  <c r="BA545" i="3"/>
  <c r="BA543" i="3"/>
  <c r="AZ543" i="3"/>
  <c r="BA521" i="3"/>
  <c r="BA505" i="3"/>
  <c r="BA501" i="3"/>
  <c r="BA493" i="3"/>
  <c r="BA487" i="3"/>
  <c r="BA566" i="3"/>
  <c r="BA562" i="3"/>
  <c r="BA560" i="3"/>
  <c r="BA558" i="3"/>
  <c r="BA556" i="3"/>
  <c r="BA554" i="3"/>
  <c r="BA550" i="3"/>
  <c r="BA546" i="3"/>
  <c r="BA544" i="3"/>
  <c r="BA536" i="3"/>
  <c r="BA528" i="3"/>
  <c r="BA524" i="3"/>
  <c r="BA520" i="3"/>
  <c r="BA516" i="3"/>
  <c r="BA512" i="3"/>
  <c r="BA508" i="3"/>
  <c r="BA502" i="3"/>
  <c r="AZ502" i="3"/>
  <c r="BA492" i="3"/>
  <c r="BA488" i="3"/>
  <c r="BA484" i="3"/>
  <c r="AZ545" i="3"/>
  <c r="G566" i="3"/>
  <c r="G562" i="3"/>
  <c r="G560" i="3"/>
  <c r="G558" i="3"/>
  <c r="G556" i="3"/>
  <c r="G554" i="3"/>
  <c r="G550" i="3"/>
  <c r="G546" i="3"/>
  <c r="BL543" i="3"/>
  <c r="AC542" i="3"/>
  <c r="G542" i="3"/>
  <c r="BQ542" i="3"/>
  <c r="BQ568" i="3"/>
  <c r="BQ566" i="3"/>
  <c r="BQ564" i="3"/>
  <c r="BL564" i="3"/>
  <c r="BQ562" i="3"/>
  <c r="BL562" i="3"/>
  <c r="BQ560" i="3"/>
  <c r="BL560" i="3"/>
  <c r="AZ560" i="3"/>
  <c r="BQ558" i="3"/>
  <c r="BL558" i="3"/>
  <c r="BQ556" i="3"/>
  <c r="BL556" i="3"/>
  <c r="AZ556" i="3"/>
  <c r="BQ554" i="3"/>
  <c r="BQ552" i="3"/>
  <c r="BQ550" i="3"/>
  <c r="BL550" i="3"/>
  <c r="AZ550" i="3"/>
  <c r="BQ548" i="3"/>
  <c r="BQ546" i="3"/>
  <c r="BL546" i="3"/>
  <c r="AZ546" i="3"/>
  <c r="BQ544" i="3"/>
  <c r="BL544" i="3"/>
  <c r="G544" i="3"/>
  <c r="G538" i="3"/>
  <c r="G534" i="3"/>
  <c r="G530" i="3"/>
  <c r="G526" i="3"/>
  <c r="G522" i="3"/>
  <c r="BQ540" i="3"/>
  <c r="BQ538" i="3"/>
  <c r="BL538" i="3"/>
  <c r="BQ536" i="3"/>
  <c r="BQ534" i="3"/>
  <c r="BL534" i="3"/>
  <c r="BQ532" i="3"/>
  <c r="BL532" i="3"/>
  <c r="BQ530" i="3"/>
  <c r="BQ528" i="3"/>
  <c r="BQ526" i="3"/>
  <c r="BL526" i="3"/>
  <c r="BQ524" i="3"/>
  <c r="BL524" i="3"/>
  <c r="AZ524" i="3"/>
  <c r="BQ522" i="3"/>
  <c r="BQ520" i="3"/>
  <c r="BL520" i="3"/>
  <c r="BQ518" i="3"/>
  <c r="BQ516" i="3"/>
  <c r="BL516" i="3"/>
  <c r="BQ514" i="3"/>
  <c r="BL514" i="3"/>
  <c r="BQ512" i="3"/>
  <c r="BQ510" i="3"/>
  <c r="BQ508" i="3"/>
  <c r="AC506" i="3"/>
  <c r="G506" i="3"/>
  <c r="BQ506" i="3"/>
  <c r="G502" i="3"/>
  <c r="G498" i="3"/>
  <c r="BQ504" i="3"/>
  <c r="BQ502" i="3"/>
  <c r="BL502" i="3"/>
  <c r="BQ500" i="3"/>
  <c r="BL500" i="3"/>
  <c r="BQ498" i="3"/>
  <c r="BQ496" i="3"/>
  <c r="AC494" i="3"/>
  <c r="BQ494" i="3"/>
  <c r="BL493" i="3"/>
  <c r="G492" i="3"/>
  <c r="G488" i="3"/>
  <c r="G484" i="3"/>
  <c r="G20" i="3"/>
  <c r="BQ492" i="3"/>
  <c r="BL492" i="3"/>
  <c r="BQ490" i="3"/>
  <c r="BQ488" i="3"/>
  <c r="BQ486" i="3"/>
  <c r="BQ484" i="3"/>
  <c r="BL484" i="3"/>
  <c r="AZ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43" i="33"/>
  <c r="U43" i="33"/>
  <c r="H17" i="37"/>
  <c r="U17" i="37"/>
  <c r="F23" i="37"/>
  <c r="S23" i="37"/>
  <c r="F79" i="37"/>
  <c r="AB27" i="37"/>
  <c r="F39" i="33"/>
  <c r="AA39" i="33"/>
  <c r="E123" i="33"/>
  <c r="F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U39" i="37"/>
  <c r="AC8" i="37"/>
  <c r="S25" i="37"/>
  <c r="AC36" i="34"/>
  <c r="AB8" i="34"/>
  <c r="AA13" i="33"/>
  <c r="U19" i="21"/>
  <c r="S39" i="33"/>
  <c r="F43" i="33"/>
  <c r="AA43" i="33"/>
  <c r="AA23" i="37"/>
  <c r="AB44" i="33"/>
  <c r="H107" i="37"/>
  <c r="I107" i="37"/>
  <c r="J107" i="37"/>
  <c r="K107" i="37"/>
  <c r="L107" i="37"/>
  <c r="M107" i="37"/>
  <c r="F37" i="21"/>
  <c r="S37" i="21"/>
  <c r="J37" i="21"/>
  <c r="W37" i="21"/>
  <c r="H19" i="34"/>
  <c r="AB19" i="34"/>
  <c r="J10" i="37"/>
  <c r="W10" i="37"/>
  <c r="J9" i="37"/>
  <c r="W9" i="37"/>
  <c r="H9" i="37"/>
  <c r="U9" i="37"/>
  <c r="F9" i="37"/>
  <c r="S9" i="37"/>
  <c r="F11" i="37"/>
  <c r="S11" i="37"/>
  <c r="H15" i="37"/>
  <c r="U15" i="37"/>
  <c r="E94" i="37"/>
  <c r="F31" i="37"/>
  <c r="S31" i="37"/>
  <c r="F94" i="37"/>
  <c r="G94" i="37"/>
  <c r="H94" i="37"/>
  <c r="I94" i="37"/>
  <c r="J94" i="37"/>
  <c r="K94" i="37"/>
  <c r="L94" i="37"/>
  <c r="M94" i="37"/>
  <c r="H31" i="37"/>
  <c r="AB31" i="37"/>
  <c r="J15" i="37"/>
  <c r="W15" i="37"/>
  <c r="J11" i="37"/>
  <c r="W11" i="37"/>
  <c r="U31" i="37"/>
  <c r="E90" i="40"/>
  <c r="F21" i="40"/>
  <c r="S21" i="40"/>
  <c r="W36" i="40"/>
  <c r="U40" i="39"/>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J16" i="35"/>
  <c r="W16" i="35"/>
  <c r="U42" i="21"/>
  <c r="AC26" i="36"/>
  <c r="W25" i="35"/>
  <c r="AZ354" i="3"/>
  <c r="S13" i="39"/>
  <c r="H11" i="37"/>
  <c r="AB11" i="37"/>
  <c r="W37" i="37"/>
  <c r="AA30" i="33"/>
  <c r="AA36" i="37"/>
  <c r="U32" i="33"/>
  <c r="AB17" i="37"/>
  <c r="AZ516" i="3"/>
  <c r="AC29" i="33"/>
  <c r="AC11" i="36"/>
  <c r="AB45" i="34"/>
  <c r="W44" i="33"/>
  <c r="AC30" i="33"/>
  <c r="W30" i="33"/>
  <c r="AC29" i="37"/>
  <c r="W32" i="36"/>
  <c r="AC32" i="36"/>
  <c r="U28" i="33"/>
  <c r="J33" i="34"/>
  <c r="AC33" i="34"/>
  <c r="AB36" i="34"/>
  <c r="J40" i="34"/>
  <c r="W40" i="34"/>
  <c r="F16" i="35"/>
  <c r="AA16" i="35"/>
  <c r="W42" i="33"/>
  <c r="J35" i="34"/>
  <c r="W35" i="34"/>
  <c r="G107" i="34"/>
  <c r="H107" i="34"/>
  <c r="I107" i="34"/>
  <c r="J107" i="34"/>
  <c r="K107" i="34"/>
  <c r="L107" i="34"/>
  <c r="M107" i="34"/>
  <c r="S30" i="36"/>
  <c r="H16" i="36"/>
  <c r="AB16" i="36"/>
  <c r="G103" i="37"/>
  <c r="H103" i="37"/>
  <c r="I103" i="37"/>
  <c r="J103" i="37"/>
  <c r="K103" i="37"/>
  <c r="L103" i="37"/>
  <c r="M103" i="37"/>
  <c r="H35" i="37"/>
  <c r="AB35" i="37"/>
  <c r="S26" i="21"/>
  <c r="H32" i="21"/>
  <c r="U32" i="21"/>
  <c r="U26" i="21"/>
  <c r="S33" i="21"/>
  <c r="W9" i="21"/>
  <c r="J32" i="21"/>
  <c r="W32" i="21"/>
  <c r="G13" i="3"/>
  <c r="H37" i="21"/>
  <c r="U37" i="21"/>
  <c r="S40" i="21"/>
  <c r="E119" i="21"/>
  <c r="F119" i="21"/>
  <c r="G119" i="21"/>
  <c r="H119" i="21"/>
  <c r="I119" i="21"/>
  <c r="J119" i="21"/>
  <c r="K119" i="21"/>
  <c r="L119" i="21"/>
  <c r="M119" i="21"/>
  <c r="AA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U43" i="39"/>
  <c r="W43" i="39"/>
  <c r="F99" i="37"/>
  <c r="U25" i="35"/>
  <c r="U31" i="34"/>
  <c r="W40" i="37"/>
  <c r="W27" i="33"/>
  <c r="S14" i="21"/>
  <c r="AA44" i="34"/>
  <c r="AB29" i="35"/>
  <c r="U29" i="35"/>
  <c r="AC19" i="33"/>
  <c r="W19" i="33"/>
  <c r="U43" i="34"/>
  <c r="AB43" i="34"/>
  <c r="AC34" i="37"/>
  <c r="S35" i="37"/>
  <c r="AA35" i="37"/>
  <c r="AB10" i="35"/>
  <c r="AA32" i="21"/>
  <c r="U38"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U33" i="39"/>
  <c r="S44" i="39"/>
  <c r="U44" i="39"/>
  <c r="W44" i="39"/>
  <c r="E128" i="39"/>
  <c r="F128" i="39"/>
  <c r="G128" i="39"/>
  <c r="H128" i="39"/>
  <c r="I128" i="39"/>
  <c r="J128" i="39"/>
  <c r="K128" i="39"/>
  <c r="L128" i="39"/>
  <c r="M128" i="39"/>
  <c r="S46" i="39"/>
  <c r="U46" i="39"/>
  <c r="W46" i="39"/>
  <c r="E103" i="39"/>
  <c r="F103" i="39"/>
  <c r="G103" i="39"/>
  <c r="U29" i="39"/>
  <c r="J29" i="35"/>
  <c r="AC29" i="35"/>
  <c r="F29" i="35"/>
  <c r="S29" i="35"/>
  <c r="W30" i="36"/>
  <c r="AC30" i="36"/>
  <c r="S37" i="39"/>
  <c r="U37" i="39"/>
  <c r="W37" i="39"/>
  <c r="BL568" i="3"/>
  <c r="BA568" i="3"/>
  <c r="AZ568" i="3"/>
  <c r="BL567" i="3"/>
  <c r="BA567" i="3"/>
  <c r="AZ567" i="3"/>
  <c r="BL566" i="3"/>
  <c r="AZ566" i="3"/>
  <c r="BL565" i="3"/>
  <c r="AZ565" i="3"/>
  <c r="BA564" i="3"/>
  <c r="AZ564" i="3"/>
  <c r="BA563" i="3"/>
  <c r="BL554" i="3"/>
  <c r="AZ554" i="3"/>
  <c r="BA553" i="3"/>
  <c r="BA552" i="3"/>
  <c r="BL549" i="3"/>
  <c r="BA549" i="3"/>
  <c r="BL548" i="3"/>
  <c r="BA548" i="3"/>
  <c r="BL547" i="3"/>
  <c r="BA547" i="3"/>
  <c r="BL539" i="3"/>
  <c r="BA539" i="3"/>
  <c r="AZ539" i="3"/>
  <c r="BA538" i="3"/>
  <c r="AZ538" i="3"/>
  <c r="BL537" i="3"/>
  <c r="BA537" i="3"/>
  <c r="BL536" i="3"/>
  <c r="AZ536" i="3"/>
  <c r="BA535" i="3"/>
  <c r="AZ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AZ512" i="3"/>
  <c r="BA511" i="3"/>
  <c r="AZ511" i="3"/>
  <c r="BA510" i="3"/>
  <c r="BL509" i="3"/>
  <c r="BL507" i="3"/>
  <c r="BA507" i="3"/>
  <c r="AZ507" i="3"/>
  <c r="BL506" i="3"/>
  <c r="BA506" i="3"/>
  <c r="AZ506" i="3"/>
  <c r="BL505" i="3"/>
  <c r="AZ505" i="3"/>
  <c r="BL504" i="3"/>
  <c r="BA504" i="3"/>
  <c r="BA503" i="3"/>
  <c r="AZ503" i="3"/>
  <c r="BA500" i="3"/>
  <c r="AZ500" i="3"/>
  <c r="BL499" i="3"/>
  <c r="BA499" i="3"/>
  <c r="AZ499" i="3"/>
  <c r="BL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W12" i="36"/>
  <c r="AC12" i="36"/>
  <c r="U31" i="36"/>
  <c r="S8" i="37"/>
  <c r="AA8" i="37"/>
  <c r="U16" i="39"/>
  <c r="E97" i="39"/>
  <c r="F97" i="39"/>
  <c r="G97" i="39"/>
  <c r="F15" i="40"/>
  <c r="AA15" i="40"/>
  <c r="J15" i="40"/>
  <c r="H15" i="40"/>
  <c r="AB15" i="40"/>
  <c r="E92" i="40"/>
  <c r="F92" i="40"/>
  <c r="G92" i="40"/>
  <c r="H23" i="40"/>
  <c r="U23" i="40"/>
  <c r="H41" i="40"/>
  <c r="AB41" i="40"/>
  <c r="F41" i="40"/>
  <c r="AA41" i="40"/>
  <c r="J41" i="40"/>
  <c r="W41" i="40"/>
  <c r="H36" i="33"/>
  <c r="AB36" i="33"/>
  <c r="H37" i="34"/>
  <c r="U15" i="39"/>
  <c r="U2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S47" i="39"/>
  <c r="U37" i="34"/>
  <c r="AB37" i="34"/>
  <c r="AC41" i="40"/>
  <c r="U41" i="40"/>
  <c r="J23" i="40"/>
  <c r="AC23" i="40"/>
  <c r="F23" i="40"/>
  <c r="S23" i="40"/>
  <c r="AC15" i="40"/>
  <c r="W15" i="40"/>
  <c r="U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AB21" i="39"/>
  <c r="U21" i="39"/>
  <c r="AB33" i="36"/>
  <c r="AA11" i="36"/>
  <c r="AA14" i="35"/>
  <c r="S14" i="35"/>
  <c r="G99" i="37"/>
  <c r="F33" i="37"/>
  <c r="U46" i="34"/>
  <c r="AC30" i="34"/>
  <c r="AA14" i="34"/>
  <c r="W12" i="34"/>
  <c r="U29" i="33"/>
  <c r="AC13" i="33"/>
  <c r="U17" i="34"/>
  <c r="AA11" i="34"/>
  <c r="W32" i="33"/>
  <c r="H15" i="33"/>
  <c r="U15" i="33"/>
  <c r="AA11" i="33"/>
  <c r="W34" i="40"/>
  <c r="AB42" i="40"/>
  <c r="U42" i="40"/>
  <c r="AC16" i="40"/>
  <c r="W32" i="40"/>
  <c r="H25" i="40"/>
  <c r="AB25" i="40"/>
  <c r="F94" i="40"/>
  <c r="G94" i="40"/>
  <c r="U47" i="39"/>
  <c r="J37" i="34"/>
  <c r="AC37" i="34"/>
  <c r="J36" i="33"/>
  <c r="W36" i="33"/>
  <c r="S41" i="40"/>
  <c r="S15" i="34"/>
  <c r="AA15" i="34"/>
  <c r="AA41" i="33"/>
  <c r="AA34" i="33"/>
  <c r="F106" i="33"/>
  <c r="G106" i="33"/>
  <c r="H106" i="33"/>
  <c r="I106" i="33"/>
  <c r="J106" i="33"/>
  <c r="K106" i="33"/>
  <c r="L106" i="33"/>
  <c r="M106" i="33"/>
  <c r="J34" i="33"/>
  <c r="AC34" i="33"/>
  <c r="U30" i="40"/>
  <c r="W29" i="35"/>
  <c r="W39" i="39"/>
  <c r="S39" i="39"/>
  <c r="U34"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AB20" i="35"/>
  <c r="W23" i="40"/>
  <c r="AP11" i="1"/>
  <c r="B11" i="1"/>
  <c r="E11" i="1"/>
  <c r="K11" i="1"/>
  <c r="M11" i="1"/>
  <c r="O11" i="1"/>
  <c r="P11" i="1"/>
  <c r="B9" i="1"/>
  <c r="E9" i="1"/>
  <c r="K9" i="1"/>
  <c r="M9" i="1"/>
  <c r="O9" i="1"/>
  <c r="P9" i="1"/>
  <c r="B7" i="1"/>
  <c r="E7" i="1"/>
  <c r="K7" i="1"/>
  <c r="M7" i="1"/>
  <c r="O7" i="1"/>
  <c r="P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S42" i="21"/>
  <c r="AB37" i="21"/>
  <c r="AB32" i="21"/>
  <c r="W28" i="21"/>
  <c r="F85" i="21"/>
  <c r="G85" i="21"/>
  <c r="J23" i="21"/>
  <c r="W23" i="21"/>
  <c r="F23" i="21"/>
  <c r="S23" i="21"/>
  <c r="H23" i="21"/>
  <c r="U23" i="21"/>
  <c r="F15" i="21"/>
  <c r="S15" i="21"/>
  <c r="F77" i="21"/>
  <c r="G77" i="21"/>
  <c r="J15" i="21"/>
  <c r="AC15" i="21"/>
  <c r="H15" i="21"/>
  <c r="AB15" i="21"/>
  <c r="AC11" i="21"/>
  <c r="AB11" i="21"/>
  <c r="W13" i="21"/>
  <c r="AC21" i="21"/>
  <c r="W21" i="21"/>
  <c r="W10"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21" i="39"/>
  <c r="S14" i="39"/>
  <c r="U11" i="39"/>
  <c r="U41" i="39"/>
  <c r="U31" i="39"/>
  <c r="S38" i="39"/>
  <c r="S22" i="31"/>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c r="E46" i="36"/>
  <c r="F46" i="36"/>
  <c r="G46" i="36"/>
  <c r="H46" i="36"/>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W25" i="21"/>
  <c r="AC37" i="21"/>
  <c r="U27" i="21"/>
  <c r="W31" i="21"/>
  <c r="S27" i="21"/>
  <c r="W29" i="21"/>
  <c r="G96" i="40"/>
  <c r="J27" i="40"/>
  <c r="AC27" i="40"/>
  <c r="W37" i="40"/>
  <c r="S17" i="40"/>
  <c r="W30" i="40"/>
  <c r="S34" i="40"/>
  <c r="U17" i="40"/>
  <c r="U38" i="40"/>
  <c r="S40" i="40"/>
  <c r="S42" i="40"/>
  <c r="G105" i="39"/>
  <c r="W31" i="39"/>
  <c r="S45" i="39"/>
  <c r="W41" i="39"/>
  <c r="S34" i="39"/>
  <c r="W42" i="39"/>
  <c r="W36" i="39"/>
  <c r="U14" i="39"/>
  <c r="W16" i="39"/>
  <c r="S15" i="39"/>
  <c r="W45" i="39"/>
  <c r="S41" i="39"/>
  <c r="W10" i="39"/>
  <c r="W11" i="39"/>
  <c r="U42" i="39"/>
  <c r="W40" i="39"/>
  <c r="S32" i="40"/>
  <c r="C27" i="39"/>
  <c r="C17" i="40"/>
  <c r="C19" i="40"/>
  <c r="C17" i="39"/>
  <c r="C19" i="39"/>
  <c r="C21" i="39"/>
  <c r="C23" i="40"/>
  <c r="B48" i="46"/>
  <c r="B51" i="46"/>
  <c r="B55" i="46"/>
  <c r="B59" i="46"/>
  <c r="B62" i="46"/>
  <c r="B66" i="46"/>
  <c r="B53" i="46"/>
  <c r="B64" i="46"/>
  <c r="D24" i="15"/>
  <c r="F29" i="6"/>
  <c r="E29" i="6"/>
  <c r="K15"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E58" i="39"/>
  <c r="E53" i="40"/>
  <c r="F27" i="6"/>
  <c r="E5" i="6"/>
  <c r="D12" i="11"/>
  <c r="C12" i="11"/>
  <c r="AT6" i="3"/>
  <c r="G29" i="6"/>
  <c r="AZ16" i="3"/>
  <c r="A9" i="64"/>
  <c r="A9" i="51"/>
  <c r="B9" i="63"/>
  <c r="A3" i="55"/>
  <c r="B56" i="63"/>
  <c r="E4" i="4"/>
  <c r="C4" i="4"/>
  <c r="G66" i="36"/>
  <c r="J18" i="36"/>
  <c r="AC18" i="36"/>
  <c r="AE8" i="1"/>
  <c r="AE7" i="1"/>
  <c r="AE6" i="1"/>
  <c r="W18" i="36"/>
  <c r="AG6" i="1"/>
  <c r="L20" i="6"/>
  <c r="L19" i="6"/>
  <c r="L27" i="6"/>
  <c r="B21" i="55"/>
  <c r="B72" i="63"/>
  <c r="B20" i="55"/>
  <c r="B70" i="63"/>
  <c r="S7" i="1"/>
  <c r="S8" i="1"/>
  <c r="S9" i="1"/>
  <c r="R9" i="1"/>
  <c r="R7" i="1"/>
  <c r="R8" i="1"/>
  <c r="C45" i="9"/>
  <c r="H14" i="66"/>
  <c r="B7" i="66"/>
  <c r="N76" i="9"/>
  <c r="H58" i="46"/>
  <c r="J17" i="46"/>
  <c r="C17" i="46"/>
  <c r="F34" i="46"/>
  <c r="F38" i="46"/>
  <c r="F37" i="46"/>
  <c r="H113" i="46"/>
  <c r="H49" i="46"/>
  <c r="H53" i="46"/>
  <c r="U14" i="59"/>
  <c r="F17" i="59"/>
  <c r="F16" i="59"/>
  <c r="F15" i="59"/>
  <c r="F14" i="59"/>
  <c r="F13" i="59"/>
  <c r="F12" i="59"/>
  <c r="F11" i="59"/>
  <c r="F10" i="59"/>
  <c r="Y16" i="59"/>
  <c r="Z16" i="59"/>
  <c r="AA16" i="59"/>
  <c r="AB16" i="59"/>
  <c r="Y15" i="59"/>
  <c r="Z15" i="59"/>
  <c r="Y14" i="59"/>
  <c r="Z14" i="59"/>
  <c r="Y13" i="59"/>
  <c r="Z13" i="59"/>
  <c r="AB15" i="59"/>
  <c r="AB14" i="59"/>
  <c r="AB13" i="59"/>
  <c r="AA18" i="59"/>
  <c r="X16" i="59"/>
  <c r="X14" i="59"/>
  <c r="X13" i="59"/>
  <c r="AA14" i="59"/>
  <c r="AA13" i="59"/>
  <c r="H1" i="65"/>
  <c r="H51" i="46"/>
  <c r="X7" i="46"/>
  <c r="E17" i="46"/>
  <c r="N17" i="46"/>
  <c r="O17" i="46"/>
  <c r="M17" i="46"/>
  <c r="L17" i="46"/>
  <c r="H22" i="46"/>
  <c r="Y11" i="46"/>
  <c r="Y13" i="46"/>
  <c r="H101" i="46"/>
  <c r="H102" i="46"/>
  <c r="G22" i="46"/>
  <c r="J22" i="46"/>
  <c r="F101" i="46"/>
  <c r="F106" i="46"/>
  <c r="D101" i="46"/>
  <c r="D106" i="46"/>
  <c r="O13" i="1"/>
  <c r="P13" i="1"/>
  <c r="O12" i="1"/>
  <c r="P12" i="1"/>
  <c r="AP7" i="1"/>
  <c r="H70" i="46"/>
  <c r="F107" i="46"/>
  <c r="H73" i="46"/>
  <c r="H50" i="46"/>
  <c r="H48" i="46"/>
  <c r="F35" i="46"/>
  <c r="I17" i="46"/>
  <c r="G17" i="46"/>
  <c r="C16" i="46"/>
  <c r="D5" i="46"/>
  <c r="H63" i="46"/>
  <c r="I101" i="46"/>
  <c r="I102" i="46"/>
  <c r="M101" i="46"/>
  <c r="M107" i="46"/>
  <c r="N101" i="46"/>
  <c r="N105" i="46"/>
  <c r="AC11" i="46"/>
  <c r="AC13" i="46"/>
  <c r="AD11" i="46"/>
  <c r="AD13" i="46"/>
  <c r="AJ11" i="46"/>
  <c r="AJ13" i="46"/>
  <c r="H64" i="46"/>
  <c r="H66" i="46"/>
  <c r="D100" i="46"/>
  <c r="F109" i="46"/>
  <c r="H62" i="46"/>
  <c r="AF12" i="46"/>
  <c r="K100" i="46"/>
  <c r="AB12" i="46"/>
  <c r="AJ12" i="46"/>
  <c r="F102" i="46"/>
  <c r="F103" i="46"/>
  <c r="C101" i="46"/>
  <c r="C109" i="46"/>
  <c r="G101" i="46"/>
  <c r="G106" i="46"/>
  <c r="J101" i="46"/>
  <c r="J106" i="46"/>
  <c r="B113" i="46"/>
  <c r="I116" i="46"/>
  <c r="J116" i="46"/>
  <c r="K116" i="46"/>
  <c r="L116" i="46"/>
  <c r="M116" i="46"/>
  <c r="N104" i="45"/>
  <c r="L101" i="46"/>
  <c r="L102" i="46"/>
  <c r="F22" i="46"/>
  <c r="E101" i="46"/>
  <c r="E104" i="46"/>
  <c r="Z7" i="46"/>
  <c r="K101" i="46"/>
  <c r="K107" i="46"/>
  <c r="E22" i="46"/>
  <c r="AG11" i="46"/>
  <c r="AG13" i="46"/>
  <c r="Z11" i="46"/>
  <c r="Z13" i="46"/>
  <c r="AH11" i="46"/>
  <c r="AH13"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B15" i="59"/>
  <c r="B14" i="59"/>
  <c r="B13" i="59"/>
  <c r="B12" i="59"/>
  <c r="B11" i="59"/>
  <c r="S14" i="59"/>
  <c r="M106" i="46"/>
  <c r="M104" i="46"/>
  <c r="M102" i="46"/>
  <c r="M105" i="46"/>
  <c r="C5" i="46"/>
  <c r="H105" i="46"/>
  <c r="D105" i="46"/>
  <c r="I104" i="46"/>
  <c r="N107" i="46"/>
  <c r="I103" i="46"/>
  <c r="N106" i="46"/>
  <c r="N102" i="46"/>
  <c r="I107" i="46"/>
  <c r="K103" i="46"/>
  <c r="K106" i="46"/>
  <c r="K105" i="46"/>
  <c r="E106" i="46"/>
  <c r="E103" i="46"/>
  <c r="E107" i="46"/>
  <c r="L105" i="46"/>
  <c r="L106" i="46"/>
  <c r="C23" i="46"/>
  <c r="L103" i="46"/>
  <c r="I115" i="46"/>
  <c r="J115" i="46"/>
  <c r="K115" i="46"/>
  <c r="L115" i="46"/>
  <c r="M115" i="46"/>
  <c r="B115" i="46"/>
  <c r="B116" i="46"/>
  <c r="C116" i="46"/>
  <c r="D118" i="46"/>
  <c r="E118" i="46"/>
  <c r="F118" i="46"/>
  <c r="I117" i="46"/>
  <c r="J117" i="46"/>
  <c r="K117" i="46"/>
  <c r="L117" i="46"/>
  <c r="M117" i="46"/>
  <c r="B117" i="46"/>
  <c r="C117" i="46"/>
  <c r="G103" i="46"/>
  <c r="G102" i="46"/>
  <c r="G105" i="46"/>
  <c r="G109" i="46"/>
  <c r="J103" i="46"/>
  <c r="C7" i="46"/>
  <c r="G20" i="46"/>
  <c r="E41" i="46"/>
  <c r="C41" i="46"/>
  <c r="S5" i="46"/>
  <c r="S2" i="46"/>
  <c r="S3" i="46"/>
  <c r="S7" i="46"/>
  <c r="S6" i="46"/>
  <c r="S4" i="46"/>
  <c r="C115" i="46"/>
  <c r="B4" i="39"/>
  <c r="B3" i="39"/>
  <c r="M43" i="9"/>
  <c r="D18" i="9"/>
  <c r="M44" i="9"/>
  <c r="W34" i="39"/>
  <c r="W33" i="39"/>
  <c r="AA11" i="21"/>
  <c r="W44" i="21"/>
  <c r="AB44" i="21"/>
  <c r="G79" i="21"/>
  <c r="F17" i="21"/>
  <c r="S17" i="21"/>
  <c r="J17" i="21"/>
  <c r="AC17" i="21"/>
  <c r="H17" i="21"/>
  <c r="AC32" i="21"/>
  <c r="AC23" i="21"/>
  <c r="AA23" i="21"/>
  <c r="AB23" i="21"/>
  <c r="S21" i="21"/>
  <c r="AC19" i="21"/>
  <c r="W17" i="21"/>
  <c r="U15" i="21"/>
  <c r="AA15" i="21"/>
  <c r="W15" i="21"/>
  <c r="W8" i="21"/>
  <c r="W29" i="39"/>
  <c r="S27" i="39"/>
  <c r="U27" i="39"/>
  <c r="W27" i="39"/>
  <c r="W25" i="39"/>
  <c r="S25" i="39"/>
  <c r="U23" i="39"/>
  <c r="W23" i="39"/>
  <c r="AC19" i="39"/>
  <c r="AA19" i="39"/>
  <c r="AB19" i="39"/>
  <c r="S17" i="39"/>
  <c r="E109" i="46"/>
  <c r="K109" i="46"/>
  <c r="G107" i="46"/>
  <c r="G104" i="46"/>
  <c r="B118" i="46"/>
  <c r="C118" i="46"/>
  <c r="G118" i="46"/>
  <c r="H118" i="46"/>
  <c r="D115" i="46"/>
  <c r="E115" i="46"/>
  <c r="F115" i="46"/>
  <c r="D117" i="46"/>
  <c r="E117" i="46"/>
  <c r="F117" i="46"/>
  <c r="G117" i="46"/>
  <c r="H117" i="46"/>
  <c r="D116" i="46"/>
  <c r="E116" i="46"/>
  <c r="F116" i="46"/>
  <c r="G116" i="46"/>
  <c r="H116" i="46"/>
  <c r="I118" i="46"/>
  <c r="J118" i="46"/>
  <c r="K118" i="46"/>
  <c r="L118" i="46"/>
  <c r="M118" i="46"/>
  <c r="L107" i="46"/>
  <c r="L109" i="46"/>
  <c r="L104" i="46"/>
  <c r="E102" i="46"/>
  <c r="E105" i="46"/>
  <c r="K104" i="46"/>
  <c r="K102" i="46"/>
  <c r="I105" i="46"/>
  <c r="N103" i="46"/>
  <c r="N109" i="46"/>
  <c r="N104" i="46"/>
  <c r="I109" i="46"/>
  <c r="D22" i="46"/>
  <c r="C21" i="46"/>
  <c r="F105" i="46"/>
  <c r="F104" i="46"/>
  <c r="Q16" i="1"/>
  <c r="M109" i="46"/>
  <c r="M103" i="46"/>
  <c r="C103" i="46"/>
  <c r="J107" i="46"/>
  <c r="H104" i="46"/>
  <c r="AZ13" i="3"/>
  <c r="G30" i="6"/>
  <c r="G31" i="6"/>
  <c r="E28" i="6"/>
  <c r="C106" i="46"/>
  <c r="C104" i="46"/>
  <c r="J102" i="46"/>
  <c r="D104" i="46"/>
  <c r="F24" i="43"/>
  <c r="C26" i="43" s="1"/>
  <c r="D24" i="43" s="1"/>
  <c r="D103" i="46"/>
  <c r="H16" i="1"/>
  <c r="F30" i="6"/>
  <c r="F31" i="6"/>
  <c r="J109" i="46"/>
  <c r="C105" i="46"/>
  <c r="C102" i="46"/>
  <c r="C107" i="46"/>
  <c r="J105" i="46"/>
  <c r="J104" i="46"/>
  <c r="D109" i="46"/>
  <c r="H106" i="46"/>
  <c r="D102" i="46"/>
  <c r="H109" i="46"/>
  <c r="H107" i="46"/>
  <c r="D107" i="46"/>
  <c r="O40" i="9"/>
  <c r="K31" i="9"/>
  <c r="K32" i="9"/>
  <c r="G6" i="1"/>
  <c r="G115" i="46"/>
  <c r="H115" i="46"/>
  <c r="C20" i="46"/>
  <c r="F9" i="59"/>
  <c r="F8" i="59"/>
  <c r="F7" i="59"/>
  <c r="F6" i="59"/>
  <c r="V10" i="59"/>
  <c r="E15" i="6"/>
  <c r="E12" i="6"/>
  <c r="E11" i="6"/>
  <c r="E14" i="6"/>
  <c r="E13" i="6"/>
  <c r="E10" i="6"/>
  <c r="V14" i="59"/>
  <c r="AA10" i="35"/>
  <c r="S10" i="35"/>
  <c r="AA27" i="37"/>
  <c r="S27" i="37"/>
  <c r="AC35" i="35"/>
  <c r="W35" i="35"/>
  <c r="AA25" i="35"/>
  <c r="S25" i="35"/>
  <c r="AC46" i="33"/>
  <c r="W46" i="33"/>
  <c r="S27" i="33"/>
  <c r="AA27" i="33"/>
  <c r="U13" i="21"/>
  <c r="AB13" i="21"/>
  <c r="U46" i="21"/>
  <c r="U28" i="21"/>
  <c r="AA22" i="35"/>
  <c r="S22" i="35"/>
  <c r="AA19" i="21"/>
  <c r="S19" i="21"/>
  <c r="W33" i="21"/>
  <c r="U39" i="21"/>
  <c r="U9" i="21"/>
  <c r="H5" i="3"/>
  <c r="BL572" i="3"/>
  <c r="AZ572" i="3"/>
  <c r="F28" i="33"/>
  <c r="J28" i="33"/>
  <c r="AB9" i="34"/>
  <c r="U9" i="34"/>
  <c r="AA34" i="35"/>
  <c r="S34" i="35"/>
  <c r="AC24" i="35"/>
  <c r="W24" i="35"/>
  <c r="U27" i="35"/>
  <c r="AB27" i="35"/>
  <c r="J9" i="36"/>
  <c r="H9" i="36"/>
  <c r="F9" i="36"/>
  <c r="J12" i="37"/>
  <c r="H12" i="37"/>
  <c r="F12" i="37"/>
  <c r="R7" i="54"/>
  <c r="B52" i="63"/>
  <c r="S16" i="39"/>
  <c r="AB23" i="40"/>
  <c r="W15" i="39"/>
  <c r="AB34" i="40"/>
  <c r="U16" i="40"/>
  <c r="W14" i="39"/>
  <c r="S23" i="39"/>
  <c r="W40" i="40"/>
  <c r="S45" i="34"/>
  <c r="AC27" i="37"/>
  <c r="AC5" i="3"/>
  <c r="AB35" i="35"/>
  <c r="AZ370" i="3"/>
  <c r="AZ356" i="3"/>
  <c r="AZ324" i="3"/>
  <c r="AZ381" i="3"/>
  <c r="AZ358" i="3"/>
  <c r="AZ355" i="3"/>
  <c r="W41" i="34"/>
  <c r="AC41" i="34"/>
  <c r="AA42" i="33"/>
  <c r="S42" i="33"/>
  <c r="AZ492" i="3"/>
  <c r="AZ520" i="3"/>
  <c r="AZ544" i="3"/>
  <c r="AZ558" i="3"/>
  <c r="AZ562" i="3"/>
  <c r="AZ493" i="3"/>
  <c r="AB31" i="33"/>
  <c r="W42" i="21"/>
  <c r="AA38" i="37"/>
  <c r="W14" i="37"/>
  <c r="AC14" i="37"/>
  <c r="AC31" i="34"/>
  <c r="W31" i="34"/>
  <c r="U40" i="37"/>
  <c r="AB40" i="37"/>
  <c r="S45" i="21"/>
  <c r="H26" i="33"/>
  <c r="U14" i="21"/>
  <c r="AB14" i="21"/>
  <c r="W37" i="33"/>
  <c r="AC37" i="33"/>
  <c r="AC34" i="36"/>
  <c r="S10" i="21"/>
  <c r="AA37" i="34"/>
  <c r="S37" i="34"/>
  <c r="AA24" i="36"/>
  <c r="S24" i="36"/>
  <c r="U43" i="21"/>
  <c r="BA570" i="3"/>
  <c r="AZ570" i="3"/>
  <c r="AA8" i="21"/>
  <c r="S8" i="21"/>
  <c r="W35" i="21"/>
  <c r="F12" i="21"/>
  <c r="H12" i="21"/>
  <c r="J9" i="33"/>
  <c r="H9" i="33"/>
  <c r="F9" i="33"/>
  <c r="AC9" i="34"/>
  <c r="W9" i="34"/>
  <c r="F28" i="34"/>
  <c r="J28" i="34"/>
  <c r="H45" i="33"/>
  <c r="J45" i="33"/>
  <c r="F45" i="33"/>
  <c r="H36" i="35"/>
  <c r="F36" i="35"/>
  <c r="W27" i="35"/>
  <c r="AC27" i="35"/>
  <c r="W10" i="36"/>
  <c r="AC10" i="36"/>
  <c r="AB29" i="36"/>
  <c r="U29" i="36"/>
  <c r="U10" i="37"/>
  <c r="AB10" i="37"/>
  <c r="U30" i="36"/>
  <c r="AB30" i="36"/>
  <c r="BL563" i="3"/>
  <c r="AZ563" i="3"/>
  <c r="BL553" i="3"/>
  <c r="AZ553" i="3"/>
  <c r="BL552" i="3"/>
  <c r="AZ552" i="3"/>
  <c r="BL542" i="3"/>
  <c r="BA542" i="3"/>
  <c r="AZ542" i="3"/>
  <c r="BA541" i="3"/>
  <c r="AZ541" i="3"/>
  <c r="BL540" i="3"/>
  <c r="BA540" i="3"/>
  <c r="BL533" i="3"/>
  <c r="AZ533" i="3"/>
  <c r="BA532" i="3"/>
  <c r="AZ532" i="3"/>
  <c r="BA531" i="3"/>
  <c r="AZ531" i="3"/>
  <c r="BL519" i="3"/>
  <c r="AZ519" i="3"/>
  <c r="BL510" i="3"/>
  <c r="AZ510" i="3"/>
  <c r="BA509" i="3"/>
  <c r="AZ509" i="3"/>
  <c r="BL508" i="3"/>
  <c r="AZ508" i="3"/>
  <c r="BA498" i="3"/>
  <c r="AZ498" i="3"/>
  <c r="BL488" i="3"/>
  <c r="BL5" i="3"/>
  <c r="BA20" i="3"/>
  <c r="AZ20" i="3"/>
  <c r="BA19" i="3"/>
  <c r="AZ416" i="3"/>
  <c r="AZ424" i="3"/>
  <c r="AZ429" i="3"/>
  <c r="AZ432" i="3"/>
  <c r="AZ443" i="3"/>
  <c r="AZ447" i="3"/>
  <c r="G540" i="3"/>
  <c r="G516" i="3"/>
  <c r="G504" i="3"/>
  <c r="G496" i="3"/>
  <c r="AZ451" i="3"/>
  <c r="AZ472" i="3"/>
  <c r="AZ368" i="3"/>
  <c r="AZ384" i="3"/>
  <c r="AZ386" i="3"/>
  <c r="AZ214" i="3"/>
  <c r="AZ218" i="3"/>
  <c r="AZ234" i="3"/>
  <c r="AZ246" i="3"/>
  <c r="AZ250" i="3"/>
  <c r="AZ266" i="3"/>
  <c r="AZ279" i="3"/>
  <c r="AZ113" i="3"/>
  <c r="AZ116" i="3"/>
  <c r="AZ129" i="3"/>
  <c r="AZ132" i="3"/>
  <c r="AZ148" i="3"/>
  <c r="AZ36" i="3"/>
  <c r="A30" i="64"/>
  <c r="A30" i="51"/>
  <c r="B22" i="63"/>
  <c r="A2" i="55"/>
  <c r="B55" i="63"/>
  <c r="AZ464" i="3"/>
  <c r="AZ480" i="3"/>
  <c r="AZ226" i="3"/>
  <c r="AZ258" i="3"/>
  <c r="AZ272" i="3"/>
  <c r="AZ287" i="3"/>
  <c r="AZ156" i="3"/>
  <c r="AZ159" i="3"/>
  <c r="AZ172" i="3"/>
  <c r="AZ175" i="3"/>
  <c r="AZ194" i="3"/>
  <c r="AZ22" i="3"/>
  <c r="AZ33" i="3"/>
  <c r="AZ38" i="3"/>
  <c r="AZ49" i="3"/>
  <c r="AZ61" i="3"/>
  <c r="AZ64" i="3"/>
  <c r="AZ67" i="3"/>
  <c r="AZ69" i="3"/>
  <c r="AZ73" i="3"/>
  <c r="AZ80" i="3"/>
  <c r="AZ89" i="3"/>
  <c r="AZ100" i="3"/>
  <c r="AZ105" i="3"/>
  <c r="D58" i="59"/>
  <c r="T58" i="59"/>
  <c r="D38" i="59"/>
  <c r="T38" i="59"/>
  <c r="D1" i="57"/>
  <c r="E10" i="57"/>
  <c r="D50" i="59"/>
  <c r="T50" i="59"/>
  <c r="C53" i="59"/>
  <c r="D36" i="59"/>
  <c r="Y22" i="59"/>
  <c r="Z22" i="59"/>
  <c r="Y20" i="59"/>
  <c r="Z20" i="59"/>
  <c r="X22" i="59"/>
  <c r="C25" i="59"/>
  <c r="AA23" i="59"/>
  <c r="AA24" i="59"/>
  <c r="X25" i="59"/>
  <c r="AA26" i="59"/>
  <c r="Y27" i="59"/>
  <c r="Z27" i="59"/>
  <c r="C28" i="59"/>
  <c r="AA28" i="59"/>
  <c r="AA29" i="59"/>
  <c r="AA30" i="59"/>
  <c r="C33" i="59"/>
  <c r="AA31" i="59"/>
  <c r="E32" i="59"/>
  <c r="E33" i="59"/>
  <c r="E34" i="59"/>
  <c r="U34" i="59"/>
  <c r="AA32" i="59"/>
  <c r="T66" i="59"/>
  <c r="C65" i="59"/>
  <c r="T74" i="59"/>
  <c r="C73" i="59"/>
  <c r="B22" i="59"/>
  <c r="X19" i="59"/>
  <c r="X21" i="59"/>
  <c r="E22" i="59"/>
  <c r="AA3" i="59"/>
  <c r="AA20" i="59"/>
  <c r="AA22" i="59"/>
  <c r="B21" i="63"/>
  <c r="B54" i="46"/>
  <c r="C27" i="40"/>
  <c r="S27" i="40"/>
  <c r="S21" i="34"/>
  <c r="F24" i="59"/>
  <c r="F25" i="59"/>
  <c r="F26" i="59"/>
  <c r="V26" i="59"/>
  <c r="AB3" i="59"/>
  <c r="AB20" i="59"/>
  <c r="AB23" i="59"/>
  <c r="B28" i="59"/>
  <c r="B29" i="59"/>
  <c r="B30" i="59"/>
  <c r="S30" i="59"/>
  <c r="X27" i="59"/>
  <c r="F32" i="59"/>
  <c r="F33" i="59"/>
  <c r="F34" i="59"/>
  <c r="V34" i="59"/>
  <c r="AB31" i="59"/>
  <c r="C41" i="59"/>
  <c r="D41" i="59"/>
  <c r="D40" i="59"/>
  <c r="Q60" i="59"/>
  <c r="Q59" i="59"/>
  <c r="O62" i="59"/>
  <c r="C61" i="59"/>
  <c r="D78" i="59"/>
  <c r="C77" i="59"/>
  <c r="Y18" i="59"/>
  <c r="Z18" i="59"/>
  <c r="A28" i="64"/>
  <c r="U18" i="59"/>
  <c r="F21" i="59"/>
  <c r="F20" i="59"/>
  <c r="C22" i="59"/>
  <c r="X18" i="59"/>
  <c r="Y17" i="59"/>
  <c r="Z17" i="59"/>
  <c r="C18" i="59"/>
  <c r="AB17" i="59"/>
  <c r="AA15" i="59"/>
  <c r="X15" i="59"/>
  <c r="Y12" i="59"/>
  <c r="Z12" i="59"/>
  <c r="AB12" i="59"/>
  <c r="AA12" i="59"/>
  <c r="X8" i="59"/>
  <c r="AA7" i="59"/>
  <c r="X11" i="59"/>
  <c r="AA11" i="59"/>
  <c r="Y23" i="59"/>
  <c r="Z23" i="59"/>
  <c r="X24" i="59"/>
  <c r="AA25" i="59"/>
  <c r="X26" i="59"/>
  <c r="AA27" i="59"/>
  <c r="AB28" i="59"/>
  <c r="Y29" i="59"/>
  <c r="Z29" i="59"/>
  <c r="AB30" i="59"/>
  <c r="Y31" i="59"/>
  <c r="Z31" i="59"/>
  <c r="AB18" i="59"/>
  <c r="X17" i="59"/>
  <c r="AA17" i="59"/>
  <c r="X12" i="59"/>
  <c r="Y8" i="59"/>
  <c r="Z8" i="59"/>
  <c r="Y11" i="59"/>
  <c r="Z11" i="59"/>
  <c r="AB7" i="59"/>
  <c r="AB9" i="59"/>
  <c r="AB11" i="59"/>
  <c r="AB6" i="59"/>
  <c r="AB5" i="59"/>
  <c r="Y6" i="59"/>
  <c r="Z6" i="59"/>
  <c r="Y7" i="59"/>
  <c r="Z7" i="59"/>
  <c r="AA6" i="59"/>
  <c r="X5" i="59"/>
  <c r="X7" i="59"/>
  <c r="AA9" i="59"/>
  <c r="X10" i="59"/>
  <c r="AB8" i="59"/>
  <c r="Y5" i="59"/>
  <c r="Z5" i="59"/>
  <c r="AA5" i="59"/>
  <c r="AA8" i="59"/>
  <c r="X6" i="59"/>
  <c r="A25" i="51"/>
  <c r="B18" i="63"/>
  <c r="AP16" i="1"/>
  <c r="F22" i="11"/>
  <c r="G10" i="1"/>
  <c r="G16" i="1"/>
  <c r="G13" i="1"/>
  <c r="F5" i="59"/>
  <c r="V5" i="59"/>
  <c r="V6" i="59"/>
  <c r="C95" i="9"/>
  <c r="C92" i="9"/>
  <c r="C25" i="12"/>
  <c r="C15" i="43"/>
  <c r="C31" i="43"/>
  <c r="C30" i="44"/>
  <c r="C27" i="43"/>
  <c r="C28" i="15"/>
  <c r="D23" i="15"/>
  <c r="L52" i="37"/>
  <c r="M52" i="37"/>
  <c r="N52" i="37"/>
  <c r="O52" i="37"/>
  <c r="L48" i="35"/>
  <c r="M48" i="35"/>
  <c r="N48" i="35"/>
  <c r="O48" i="35"/>
  <c r="I46" i="36"/>
  <c r="G58" i="33"/>
  <c r="H58" i="33"/>
  <c r="I58" i="33"/>
  <c r="J58" i="33"/>
  <c r="K58" i="33"/>
  <c r="L58" i="33"/>
  <c r="M58" i="33"/>
  <c r="N58" i="33"/>
  <c r="O58" i="33"/>
  <c r="F58" i="21"/>
  <c r="G58" i="21"/>
  <c r="H58" i="21"/>
  <c r="I58" i="21"/>
  <c r="J58" i="21"/>
  <c r="K58" i="21"/>
  <c r="L58" i="21"/>
  <c r="M58" i="21"/>
  <c r="N58" i="21"/>
  <c r="O58" i="21"/>
  <c r="D59" i="34"/>
  <c r="E59" i="34"/>
  <c r="F59" i="34"/>
  <c r="G59" i="34"/>
  <c r="H59" i="34"/>
  <c r="I59" i="34"/>
  <c r="J59" i="34"/>
  <c r="K59" i="34"/>
  <c r="L59" i="34"/>
  <c r="M59" i="34"/>
  <c r="N59" i="34"/>
  <c r="O59" i="34"/>
  <c r="H7" i="34"/>
  <c r="D70" i="39"/>
  <c r="C72" i="39"/>
  <c r="C67" i="40"/>
  <c r="D65" i="40"/>
  <c r="J7" i="33"/>
  <c r="J7" i="21"/>
  <c r="C18" i="11"/>
  <c r="K77" i="9"/>
  <c r="K79" i="9"/>
  <c r="K81" i="9"/>
  <c r="E12" i="52"/>
  <c r="F31" i="15"/>
  <c r="F33" i="44"/>
  <c r="E10" i="59"/>
  <c r="B10" i="59"/>
  <c r="X9" i="59"/>
  <c r="Y9" i="59"/>
  <c r="Z9" i="59"/>
  <c r="B7" i="52"/>
  <c r="E6" i="52"/>
  <c r="E9" i="52"/>
  <c r="B9" i="52"/>
  <c r="E13" i="52"/>
  <c r="E10" i="52"/>
  <c r="B6" i="52"/>
  <c r="B11" i="52"/>
  <c r="E8" i="52"/>
  <c r="E5" i="52"/>
  <c r="Y3" i="59"/>
  <c r="Z3" i="59"/>
  <c r="AB10" i="59"/>
  <c r="AA10" i="59"/>
  <c r="Y10" i="59"/>
  <c r="Z10" i="59"/>
  <c r="P22" i="46"/>
  <c r="P24" i="46"/>
  <c r="B68" i="40"/>
  <c r="P23" i="46"/>
  <c r="P25" i="46"/>
  <c r="B73" i="39"/>
  <c r="P21" i="46"/>
  <c r="I1" i="65"/>
  <c r="M17" i="15"/>
  <c r="S29" i="39"/>
  <c r="AB17" i="21"/>
  <c r="U17" i="21"/>
  <c r="AA17" i="21"/>
  <c r="D113" i="46"/>
  <c r="K14" i="1"/>
  <c r="E30" i="6"/>
  <c r="F7" i="34"/>
  <c r="J7" i="34"/>
  <c r="E9" i="59"/>
  <c r="E8" i="59"/>
  <c r="E7" i="59"/>
  <c r="E6" i="59"/>
  <c r="U10" i="59"/>
  <c r="T18" i="59"/>
  <c r="D18" i="59"/>
  <c r="C17" i="59"/>
  <c r="D77" i="59"/>
  <c r="C76" i="59"/>
  <c r="D76" i="59"/>
  <c r="O61" i="59"/>
  <c r="D61" i="59"/>
  <c r="C60" i="59"/>
  <c r="U22" i="59"/>
  <c r="E21" i="59"/>
  <c r="E20" i="59"/>
  <c r="C72" i="59"/>
  <c r="D72" i="59"/>
  <c r="D73" i="59"/>
  <c r="D65" i="59"/>
  <c r="C64" i="59"/>
  <c r="D64" i="59"/>
  <c r="C54" i="59"/>
  <c r="D53" i="59"/>
  <c r="AZ540" i="3"/>
  <c r="AA36" i="35"/>
  <c r="S36" i="35"/>
  <c r="AA45" i="33"/>
  <c r="S45" i="33"/>
  <c r="AB45" i="33"/>
  <c r="U45" i="33"/>
  <c r="AA28" i="34"/>
  <c r="S28" i="34"/>
  <c r="AB9" i="33"/>
  <c r="U9" i="33"/>
  <c r="W30" i="21"/>
  <c r="U30" i="21"/>
  <c r="S12" i="21"/>
  <c r="AA12" i="21"/>
  <c r="U26" i="33"/>
  <c r="AB26" i="33"/>
  <c r="S12" i="37"/>
  <c r="AA12" i="37"/>
  <c r="W12" i="37"/>
  <c r="AC12" i="37"/>
  <c r="U9" i="36"/>
  <c r="AB9" i="36"/>
  <c r="AC28" i="33"/>
  <c r="W28" i="33"/>
  <c r="E16" i="6"/>
  <c r="E66" i="39"/>
  <c r="E61" i="40"/>
  <c r="E59" i="40"/>
  <c r="E64" i="39"/>
  <c r="B9" i="59"/>
  <c r="B8" i="59"/>
  <c r="B7" i="59"/>
  <c r="B6" i="59"/>
  <c r="S10" i="59"/>
  <c r="D22" i="59"/>
  <c r="T22" i="59"/>
  <c r="C21" i="59"/>
  <c r="B21" i="59"/>
  <c r="B20" i="59"/>
  <c r="S22" i="59"/>
  <c r="D33" i="59"/>
  <c r="C34" i="59"/>
  <c r="D28" i="59"/>
  <c r="C29" i="59"/>
  <c r="D25" i="59"/>
  <c r="C26" i="59"/>
  <c r="G5" i="3"/>
  <c r="B3" i="3"/>
  <c r="AZ19" i="3"/>
  <c r="BA5" i="3"/>
  <c r="E27" i="6"/>
  <c r="AB36" i="35"/>
  <c r="U36" i="35"/>
  <c r="AC45" i="33"/>
  <c r="W45" i="33"/>
  <c r="AC28" i="34"/>
  <c r="W28" i="34"/>
  <c r="S9" i="33"/>
  <c r="AA9" i="33"/>
  <c r="W9" i="33"/>
  <c r="AC9" i="33"/>
  <c r="S30" i="21"/>
  <c r="AB12" i="21"/>
  <c r="U12" i="21"/>
  <c r="AB12" i="37"/>
  <c r="U12" i="37"/>
  <c r="AA9" i="36"/>
  <c r="S9" i="36"/>
  <c r="AC9" i="36"/>
  <c r="W9" i="36"/>
  <c r="AA28" i="33"/>
  <c r="S28" i="33"/>
  <c r="AZ488" i="3"/>
  <c r="E65" i="39"/>
  <c r="E60" i="40"/>
  <c r="E58" i="40"/>
  <c r="E63" i="39"/>
  <c r="E62" i="40"/>
  <c r="E67" i="39"/>
  <c r="J12" i="39"/>
  <c r="W12" i="39"/>
  <c r="J12" i="40"/>
  <c r="W12" i="40"/>
  <c r="H12" i="39"/>
  <c r="AB12" i="39"/>
  <c r="F12" i="39"/>
  <c r="AA12" i="39"/>
  <c r="H12" i="40"/>
  <c r="AB12" i="40"/>
  <c r="F12" i="40"/>
  <c r="AA12" i="40"/>
  <c r="F7" i="21"/>
  <c r="AA7" i="21"/>
  <c r="H7" i="21"/>
  <c r="AB7" i="21"/>
  <c r="G48" i="21"/>
  <c r="B5" i="59"/>
  <c r="S5" i="59"/>
  <c r="S6" i="59"/>
  <c r="E5" i="59"/>
  <c r="U5" i="59"/>
  <c r="U6" i="59"/>
  <c r="F58" i="15"/>
  <c r="H7" i="35"/>
  <c r="U7" i="35"/>
  <c r="E65" i="40"/>
  <c r="D67" i="40"/>
  <c r="AC7" i="33"/>
  <c r="V48" i="33"/>
  <c r="I48" i="33"/>
  <c r="W7" i="33"/>
  <c r="S12" i="40"/>
  <c r="U12" i="40"/>
  <c r="S7" i="34"/>
  <c r="AA7" i="34"/>
  <c r="R49" i="34"/>
  <c r="W7" i="34"/>
  <c r="AC7" i="34"/>
  <c r="V49" i="34"/>
  <c r="I49" i="34"/>
  <c r="J7" i="37"/>
  <c r="W7" i="21"/>
  <c r="AC7" i="21"/>
  <c r="I48" i="21"/>
  <c r="AC12" i="39"/>
  <c r="D72" i="39"/>
  <c r="E70" i="39"/>
  <c r="AB7" i="34"/>
  <c r="T49" i="34"/>
  <c r="G49" i="34"/>
  <c r="U7" i="34"/>
  <c r="H7" i="33"/>
  <c r="F7" i="33"/>
  <c r="J46" i="36"/>
  <c r="J7" i="35"/>
  <c r="F7" i="35"/>
  <c r="H7" i="37"/>
  <c r="F7" i="37"/>
  <c r="M19" i="44"/>
  <c r="C19" i="46"/>
  <c r="C34" i="46"/>
  <c r="M28" i="46"/>
  <c r="P28" i="46"/>
  <c r="O28" i="46"/>
  <c r="N28" i="46"/>
  <c r="U7" i="21"/>
  <c r="S7" i="21"/>
  <c r="U12" i="39"/>
  <c r="K16" i="1"/>
  <c r="M14" i="1"/>
  <c r="S12" i="39"/>
  <c r="AC12" i="40"/>
  <c r="AZ5"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311" i="3"/>
  <c r="E222" i="3"/>
  <c r="E263" i="3"/>
  <c r="E388" i="3"/>
  <c r="E424" i="3"/>
  <c r="E430" i="3"/>
  <c r="E82" i="3"/>
  <c r="E146" i="3"/>
  <c r="E164" i="3"/>
  <c r="E77" i="3"/>
  <c r="E99" i="3"/>
  <c r="E434" i="3"/>
  <c r="E262" i="3"/>
  <c r="E552" i="3"/>
  <c r="E101" i="3"/>
  <c r="E57" i="3"/>
  <c r="D26" i="59"/>
  <c r="T26" i="59"/>
  <c r="C30" i="59"/>
  <c r="D29" i="59"/>
  <c r="D34" i="59"/>
  <c r="T34" i="59"/>
  <c r="C20" i="59"/>
  <c r="D20" i="59"/>
  <c r="D21" i="59"/>
  <c r="E540" i="3"/>
  <c r="D60" i="59"/>
  <c r="O60" i="59"/>
  <c r="O59" i="59"/>
  <c r="K20" i="6"/>
  <c r="M20" i="6"/>
  <c r="I20" i="6"/>
  <c r="S20" i="6"/>
  <c r="E31" i="6"/>
  <c r="K19" i="6"/>
  <c r="S6" i="1"/>
  <c r="S16" i="1"/>
  <c r="K26" i="6"/>
  <c r="M26" i="6"/>
  <c r="I26" i="6"/>
  <c r="S26" i="6"/>
  <c r="K24" i="6"/>
  <c r="M24" i="6"/>
  <c r="I24" i="6"/>
  <c r="S24" i="6"/>
  <c r="K22" i="6"/>
  <c r="M22" i="6"/>
  <c r="I22" i="6"/>
  <c r="S22" i="6"/>
  <c r="K23" i="6"/>
  <c r="M23" i="6"/>
  <c r="I23" i="6"/>
  <c r="S23" i="6"/>
  <c r="K25" i="6"/>
  <c r="M25" i="6"/>
  <c r="I25" i="6"/>
  <c r="S25" i="6"/>
  <c r="K21" i="6"/>
  <c r="M21" i="6"/>
  <c r="I21" i="6"/>
  <c r="S21" i="6"/>
  <c r="E516" i="3"/>
  <c r="E496" i="3"/>
  <c r="E504" i="3"/>
  <c r="D54" i="59"/>
  <c r="T54" i="59"/>
  <c r="D17" i="59"/>
  <c r="C16" i="59"/>
  <c r="AB7" i="35"/>
  <c r="T38" i="35"/>
  <c r="G38"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G42" i="35"/>
  <c r="H42" i="35"/>
  <c r="G43" i="35"/>
  <c r="H43" i="35"/>
  <c r="E48" i="21"/>
  <c r="AA7" i="33"/>
  <c r="R48" i="33"/>
  <c r="S7" i="33"/>
  <c r="F70" i="39"/>
  <c r="E72" i="39"/>
  <c r="G52" i="21"/>
  <c r="H52" i="21"/>
  <c r="G53" i="21"/>
  <c r="H53" i="21"/>
  <c r="I53" i="34"/>
  <c r="J53" i="34"/>
  <c r="R50" i="34"/>
  <c r="E49" i="34"/>
  <c r="I52" i="33"/>
  <c r="J52" i="33"/>
  <c r="E67" i="40"/>
  <c r="F65" i="40"/>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G39" i="46"/>
  <c r="I39" i="46"/>
  <c r="E38" i="46"/>
  <c r="E34" i="46"/>
  <c r="G34" i="46"/>
  <c r="I34" i="46"/>
  <c r="H6" i="3"/>
  <c r="M16" i="1"/>
  <c r="T9" i="1"/>
  <c r="O14" i="1"/>
  <c r="O16" i="1"/>
  <c r="T6" i="1"/>
  <c r="T13" i="1"/>
  <c r="T12" i="1"/>
  <c r="T7" i="1"/>
  <c r="T8" i="1"/>
  <c r="P14" i="1"/>
  <c r="P16" i="1"/>
  <c r="N16" i="1"/>
  <c r="C29" i="43"/>
  <c r="T10" i="1"/>
  <c r="T11" i="1"/>
  <c r="G33" i="46"/>
  <c r="I33" i="46"/>
  <c r="E36" i="46"/>
  <c r="D16" i="59"/>
  <c r="C15" i="59"/>
  <c r="E6" i="3"/>
  <c r="K27" i="6"/>
  <c r="M19" i="6"/>
  <c r="D30" i="59"/>
  <c r="T30" i="59"/>
  <c r="E3" i="6"/>
  <c r="AY6" i="3"/>
  <c r="E37" i="46"/>
  <c r="E35" i="46"/>
  <c r="F67" i="40"/>
  <c r="G65" i="40"/>
  <c r="C50" i="34"/>
  <c r="B3" i="34"/>
  <c r="B2" i="34"/>
  <c r="C49" i="34"/>
  <c r="G70" i="39"/>
  <c r="F72" i="39"/>
  <c r="R49" i="33"/>
  <c r="E48" i="33"/>
  <c r="E53" i="21"/>
  <c r="F53" i="21"/>
  <c r="E52" i="21"/>
  <c r="F52" i="21"/>
  <c r="I53" i="21"/>
  <c r="J53" i="21"/>
  <c r="L46" i="36"/>
  <c r="R39" i="35"/>
  <c r="E38" i="35"/>
  <c r="R43" i="37"/>
  <c r="E42" i="37"/>
  <c r="E54" i="34"/>
  <c r="F54" i="34"/>
  <c r="E53" i="34"/>
  <c r="F53" i="34"/>
  <c r="I54" i="34"/>
  <c r="J54" i="34"/>
  <c r="C48" i="21"/>
  <c r="I46" i="37"/>
  <c r="J46" i="37"/>
  <c r="I47" i="37"/>
  <c r="J47" i="37"/>
  <c r="G52" i="33"/>
  <c r="H52" i="33"/>
  <c r="G53" i="33"/>
  <c r="H53" i="33"/>
  <c r="I42" i="35"/>
  <c r="J42" i="35"/>
  <c r="I43" i="35"/>
  <c r="J43" i="35"/>
  <c r="G46" i="37"/>
  <c r="H46" i="37"/>
  <c r="G47" i="37"/>
  <c r="H47" i="37"/>
  <c r="E29" i="46"/>
  <c r="C27" i="46"/>
  <c r="C8" i="12"/>
  <c r="T16" i="1"/>
  <c r="L16" i="1"/>
  <c r="C13" i="43"/>
  <c r="C17" i="43"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27" i="6"/>
  <c r="I19" i="6"/>
  <c r="D15" i="59"/>
  <c r="C14" i="59"/>
  <c r="D16" i="43"/>
  <c r="C16" i="43" s="1"/>
  <c r="E6" i="6"/>
  <c r="L38" i="9"/>
  <c r="B14" i="66"/>
  <c r="B1" i="66"/>
  <c r="D45" i="9"/>
  <c r="C21" i="4"/>
  <c r="O5" i="54"/>
  <c r="B45" i="63"/>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70" i="39"/>
  <c r="G72" i="39"/>
  <c r="H65" i="40"/>
  <c r="G67" i="40"/>
  <c r="C26" i="46"/>
  <c r="B2" i="46"/>
  <c r="D77" i="9"/>
  <c r="N75" i="9"/>
  <c r="C14" i="43"/>
  <c r="C7" i="66"/>
  <c r="D13" i="11"/>
  <c r="C13" i="11"/>
  <c r="C13" i="59"/>
  <c r="T14" i="59"/>
  <c r="D14" i="59"/>
  <c r="S19" i="6"/>
  <c r="S27" i="6"/>
  <c r="I27" i="6"/>
  <c r="C22" i="4"/>
  <c r="D21" i="6"/>
  <c r="D10" i="6"/>
  <c r="H21" i="6"/>
  <c r="D14" i="6"/>
  <c r="D20" i="6"/>
  <c r="F45" i="9"/>
  <c r="D24" i="6"/>
  <c r="D11" i="6"/>
  <c r="D9" i="6"/>
  <c r="D29" i="6"/>
  <c r="H19" i="6"/>
  <c r="E63" i="40"/>
  <c r="D19" i="6"/>
  <c r="D25" i="6"/>
  <c r="D13" i="6"/>
  <c r="H24" i="6"/>
  <c r="D23" i="6"/>
  <c r="D28" i="6"/>
  <c r="D30" i="6"/>
  <c r="D8" i="6"/>
  <c r="E45" i="9"/>
  <c r="K38" i="9"/>
  <c r="C14" i="66"/>
  <c r="D26" i="6"/>
  <c r="D22" i="6"/>
  <c r="D12" i="6"/>
  <c r="H25" i="6"/>
  <c r="D5" i="6"/>
  <c r="H22" i="6"/>
  <c r="H26" i="6"/>
  <c r="D6" i="6"/>
  <c r="H23" i="6"/>
  <c r="E68" i="39"/>
  <c r="H20" i="6"/>
  <c r="D15" i="6"/>
  <c r="I65" i="40"/>
  <c r="H67" i="40"/>
  <c r="H72" i="39"/>
  <c r="I70" i="39"/>
  <c r="N46" i="36"/>
  <c r="D4" i="46"/>
  <c r="B3" i="46"/>
  <c r="B4" i="46"/>
  <c r="H27" i="6"/>
  <c r="D16" i="6"/>
  <c r="R26" i="6"/>
  <c r="R23" i="6"/>
  <c r="D27" i="6"/>
  <c r="D31" i="6"/>
  <c r="R19" i="6"/>
  <c r="R24" i="6"/>
  <c r="R20" i="6"/>
  <c r="R21" i="6"/>
  <c r="C12" i="59"/>
  <c r="D13" i="59"/>
  <c r="R22" i="6"/>
  <c r="B2" i="66"/>
  <c r="D7" i="66" s="1"/>
  <c r="R25" i="6"/>
  <c r="A6" i="51"/>
  <c r="B7" i="63"/>
  <c r="A6" i="64"/>
  <c r="A20" i="51"/>
  <c r="B15" i="63"/>
  <c r="N5" i="54"/>
  <c r="B43" i="63"/>
  <c r="A20" i="64"/>
  <c r="O46" i="36"/>
  <c r="J7" i="36"/>
  <c r="F7" i="36"/>
  <c r="H7" i="36"/>
  <c r="J65" i="40"/>
  <c r="I67" i="40"/>
  <c r="J70" i="39"/>
  <c r="I72" i="39"/>
  <c r="R27" i="6"/>
  <c r="R6" i="1"/>
  <c r="R16" i="1"/>
  <c r="C11" i="59"/>
  <c r="D12" i="59"/>
  <c r="I6" i="6"/>
  <c r="I5" i="6"/>
  <c r="K70" i="39"/>
  <c r="J72" i="39"/>
  <c r="U7" i="36"/>
  <c r="AB7" i="36"/>
  <c r="T36" i="36"/>
  <c r="G36" i="36"/>
  <c r="AC7" i="36"/>
  <c r="V36" i="36"/>
  <c r="I36" i="36"/>
  <c r="W7" i="36"/>
  <c r="J67" i="40"/>
  <c r="K65" i="40"/>
  <c r="S7" i="36"/>
  <c r="AA7" i="36"/>
  <c r="R36" i="36"/>
  <c r="D11" i="59"/>
  <c r="C10" i="59"/>
  <c r="R37" i="36"/>
  <c r="E36" i="36"/>
  <c r="K67" i="40"/>
  <c r="L65" i="40"/>
  <c r="G41" i="36"/>
  <c r="H41" i="36"/>
  <c r="G40" i="36"/>
  <c r="H40" i="36"/>
  <c r="I40" i="36"/>
  <c r="J40" i="36"/>
  <c r="I41" i="36"/>
  <c r="J41" i="36"/>
  <c r="L70" i="39"/>
  <c r="K72" i="39"/>
  <c r="C9" i="59"/>
  <c r="T10" i="59"/>
  <c r="D10" i="59"/>
  <c r="L72" i="39"/>
  <c r="M70" i="39"/>
  <c r="M65" i="40"/>
  <c r="L67" i="40"/>
  <c r="E40" i="36"/>
  <c r="F40" i="36"/>
  <c r="E41" i="36"/>
  <c r="F41" i="36"/>
  <c r="C37" i="36"/>
  <c r="B3" i="36"/>
  <c r="B2" i="36"/>
  <c r="C36" i="36"/>
  <c r="C8" i="59"/>
  <c r="D9" i="59"/>
  <c r="N65" i="40"/>
  <c r="N67" i="40"/>
  <c r="M67" i="40"/>
  <c r="N70" i="39"/>
  <c r="N72" i="39"/>
  <c r="M72" i="39"/>
  <c r="C7" i="59"/>
  <c r="D8" i="59"/>
  <c r="J9" i="40"/>
  <c r="H9" i="40"/>
  <c r="F9" i="40"/>
  <c r="J9" i="39"/>
  <c r="H9" i="39"/>
  <c r="F9" i="39"/>
  <c r="C6" i="59"/>
  <c r="D7" i="59"/>
  <c r="S9" i="39"/>
  <c r="AA9" i="39"/>
  <c r="W9" i="39"/>
  <c r="AC9" i="39"/>
  <c r="I49" i="39"/>
  <c r="U9" i="40"/>
  <c r="AB9" i="40"/>
  <c r="T44" i="40"/>
  <c r="G44" i="40"/>
  <c r="U9" i="39"/>
  <c r="AB9" i="39"/>
  <c r="G49" i="39"/>
  <c r="S9" i="40"/>
  <c r="AA9" i="40"/>
  <c r="R44" i="40"/>
  <c r="AC9" i="40"/>
  <c r="V44" i="40"/>
  <c r="I44" i="40"/>
  <c r="I48" i="40"/>
  <c r="J48" i="40"/>
  <c r="W9" i="40"/>
  <c r="C5" i="59"/>
  <c r="T6" i="59"/>
  <c r="D6" i="59"/>
  <c r="R45" i="40"/>
  <c r="E44" i="40"/>
  <c r="G53" i="39"/>
  <c r="H53" i="39"/>
  <c r="G54" i="39"/>
  <c r="H54" i="39"/>
  <c r="G48" i="40"/>
  <c r="H48" i="40"/>
  <c r="G49" i="40"/>
  <c r="H49" i="40"/>
  <c r="I53" i="39"/>
  <c r="J53" i="39"/>
  <c r="E49" i="39"/>
  <c r="I54" i="39"/>
  <c r="J54" i="39"/>
  <c r="T5" i="59"/>
  <c r="D5" i="59"/>
  <c r="M20" i="46"/>
  <c r="E54" i="39"/>
  <c r="F54" i="39"/>
  <c r="E53" i="39"/>
  <c r="F53" i="39"/>
  <c r="I49" i="40"/>
  <c r="J49" i="40"/>
  <c r="E49" i="40"/>
  <c r="F49" i="40"/>
  <c r="E48" i="40"/>
  <c r="F48" i="40"/>
  <c r="C49" i="39"/>
  <c r="C44" i="40"/>
  <c r="C45" i="40"/>
  <c r="B61" i="40"/>
  <c r="F61" i="40"/>
  <c r="B58" i="40"/>
  <c r="F58" i="40"/>
  <c r="B55" i="40"/>
  <c r="F55" i="40"/>
  <c r="B56" i="40"/>
  <c r="F56" i="40"/>
  <c r="B59" i="40"/>
  <c r="F59" i="40"/>
  <c r="B53" i="40"/>
  <c r="F53" i="40"/>
  <c r="B60" i="40"/>
  <c r="F60" i="40"/>
  <c r="B54" i="40"/>
  <c r="F54" i="40"/>
  <c r="B57" i="40"/>
  <c r="F57" i="40"/>
  <c r="B62" i="40"/>
  <c r="F62" i="40"/>
  <c r="F63" i="40"/>
  <c r="B2" i="40"/>
  <c r="B5" i="39"/>
  <c r="B5" i="40"/>
  <c r="B4" i="40"/>
  <c r="B3" i="40"/>
  <c r="M8" i="15"/>
  <c r="F13" i="67"/>
  <c r="F26" i="15"/>
  <c r="F35" i="15"/>
  <c r="F46" i="44"/>
  <c r="J36" i="15"/>
  <c r="F43" i="15"/>
  <c r="I3" i="65"/>
  <c r="B10" i="67"/>
  <c r="E8" i="67"/>
  <c r="L47" i="15"/>
  <c r="F36" i="15"/>
  <c r="F11" i="44"/>
  <c r="E10" i="67"/>
  <c r="F42" i="15"/>
  <c r="B8" i="67"/>
  <c r="E13" i="67"/>
  <c r="F9" i="15"/>
  <c r="E9" i="67"/>
  <c r="N5" i="65"/>
  <c r="F10" i="67"/>
  <c r="E12" i="67"/>
  <c r="F40" i="15"/>
  <c r="I4" i="65"/>
  <c r="C21" i="9"/>
  <c r="F15" i="44"/>
  <c r="F8" i="44"/>
  <c r="N4" i="65"/>
  <c r="J6" i="65"/>
  <c r="M26" i="15"/>
  <c r="F38" i="15"/>
  <c r="B14" i="67"/>
  <c r="F38" i="44"/>
  <c r="B11" i="67"/>
  <c r="F37" i="15"/>
  <c r="I7" i="65"/>
  <c r="N3" i="65"/>
  <c r="M31" i="44"/>
  <c r="M23" i="44"/>
  <c r="C20" i="9"/>
  <c r="F41" i="15"/>
  <c r="M27" i="15"/>
  <c r="N6" i="65"/>
  <c r="M29" i="15"/>
  <c r="F6" i="15"/>
  <c r="F13" i="15"/>
  <c r="J3" i="65"/>
  <c r="M10" i="44"/>
  <c r="F37" i="44"/>
  <c r="L48" i="15"/>
  <c r="M28" i="44"/>
  <c r="I6" i="65"/>
  <c r="F11" i="67"/>
  <c r="L49" i="44"/>
  <c r="M24" i="44"/>
  <c r="E11" i="67"/>
  <c r="M24" i="15"/>
  <c r="F18" i="44"/>
  <c r="F9" i="44"/>
  <c r="F12" i="67"/>
  <c r="J17" i="44"/>
  <c r="B12" i="67"/>
  <c r="F16" i="15"/>
  <c r="F10" i="44"/>
  <c r="F45" i="44"/>
  <c r="F40" i="44"/>
  <c r="F39" i="44"/>
  <c r="J15" i="15"/>
  <c r="F28" i="44"/>
  <c r="F7" i="15"/>
  <c r="M25" i="44"/>
  <c r="J4" i="65"/>
  <c r="M8" i="44"/>
  <c r="C14" i="15"/>
  <c r="F7" i="67"/>
  <c r="C19" i="9"/>
  <c r="I5" i="65"/>
  <c r="E2" i="65" s="1"/>
  <c r="F8" i="67"/>
  <c r="M23" i="15"/>
  <c r="M29" i="44"/>
  <c r="J7" i="65"/>
  <c r="B13" i="67"/>
  <c r="M11" i="44"/>
  <c r="M26" i="44"/>
  <c r="M6" i="15"/>
  <c r="L48" i="44"/>
  <c r="J5" i="65"/>
  <c r="F9" i="67"/>
  <c r="B9" i="67"/>
  <c r="M9" i="15"/>
  <c r="F14" i="67"/>
  <c r="M28" i="15"/>
  <c r="N7" i="65"/>
  <c r="F43" i="44"/>
  <c r="M22" i="15"/>
  <c r="M30" i="44"/>
  <c r="C19" i="44"/>
  <c r="F8" i="15"/>
  <c r="E14" i="67"/>
  <c r="M21" i="15"/>
  <c r="C16" i="44"/>
  <c r="B7" i="67"/>
  <c r="E7" i="67"/>
  <c r="C18" i="43" l="1"/>
  <c r="C20" i="12"/>
  <c r="E3" i="67"/>
  <c r="B2" i="67"/>
  <c r="C17" i="44"/>
  <c r="C20" i="44"/>
  <c r="J20" i="15"/>
  <c r="F50" i="15"/>
  <c r="Q73" i="44"/>
  <c r="L59" i="44"/>
  <c r="L60" i="44"/>
  <c r="B40" i="1"/>
  <c r="L43" i="9"/>
  <c r="E4" i="67"/>
  <c r="C15" i="15"/>
  <c r="C18" i="15"/>
  <c r="F49" i="15"/>
  <c r="M7" i="15"/>
  <c r="J6" i="15" s="1"/>
  <c r="C29" i="44"/>
  <c r="M9" i="44"/>
  <c r="J8" i="44" s="1"/>
  <c r="I55" i="44"/>
  <c r="L57" i="44"/>
  <c r="J61" i="44"/>
  <c r="Q50" i="44" s="1"/>
  <c r="J54" i="44"/>
  <c r="J58" i="44"/>
  <c r="J56" i="44" s="1"/>
  <c r="J59" i="44" s="1"/>
  <c r="Q52" i="44" s="1"/>
  <c r="J60" i="44"/>
  <c r="J57" i="15"/>
  <c r="J55" i="15" s="1"/>
  <c r="J58" i="15" s="1"/>
  <c r="Q51" i="15" s="1"/>
  <c r="I54" i="15"/>
  <c r="J53" i="15"/>
  <c r="L56" i="15"/>
  <c r="C36" i="44"/>
  <c r="J1" i="65"/>
  <c r="C6" i="15"/>
  <c r="F68" i="15"/>
  <c r="J22" i="44"/>
  <c r="F64" i="15"/>
  <c r="F65" i="15"/>
  <c r="C4" i="65"/>
  <c r="B39" i="1" s="1"/>
  <c r="C8" i="44"/>
  <c r="F67" i="15"/>
  <c r="F63" i="15"/>
  <c r="L58" i="15"/>
  <c r="L59" i="15"/>
  <c r="F70" i="15"/>
  <c r="Q72" i="15"/>
  <c r="F62" i="15"/>
  <c r="C61" i="15" s="1"/>
  <c r="C34" i="15"/>
  <c r="C27" i="15"/>
  <c r="C25" i="43"/>
  <c r="C24" i="43" s="1"/>
  <c r="C19" i="43"/>
  <c r="B15" i="52"/>
  <c r="B4" i="52"/>
  <c r="E14" i="52"/>
  <c r="E11" i="52"/>
  <c r="E7" i="52"/>
  <c r="E4" i="52"/>
  <c r="B8" i="52"/>
  <c r="B10" i="52"/>
  <c r="B5" i="52"/>
  <c r="B12" i="52"/>
  <c r="B14" i="52"/>
  <c r="C18" i="12"/>
  <c r="C16" i="15"/>
  <c r="C18" i="44"/>
  <c r="C17" i="15"/>
  <c r="E3" i="65"/>
  <c r="L47" i="44" l="1"/>
  <c r="F17" i="11"/>
  <c r="C17" i="11" s="1"/>
  <c r="C19" i="11" s="1"/>
  <c r="C21" i="44"/>
  <c r="C19" i="15"/>
  <c r="J20" i="44"/>
  <c r="Q61" i="15"/>
  <c r="Q74" i="15"/>
  <c r="C34" i="44"/>
  <c r="F1" i="15"/>
  <c r="Q53" i="15"/>
  <c r="C23" i="12"/>
  <c r="Q75" i="15"/>
  <c r="Q62" i="15"/>
  <c r="F11" i="15"/>
  <c r="M13" i="44"/>
  <c r="J12" i="44" s="1"/>
  <c r="J7" i="44" s="1"/>
  <c r="M11" i="15"/>
  <c r="J10" i="15" s="1"/>
  <c r="J5" i="15" s="1"/>
  <c r="F13" i="44"/>
  <c r="C12" i="44" s="1"/>
  <c r="C7" i="44" s="1"/>
  <c r="C32" i="15"/>
  <c r="F1" i="44"/>
  <c r="Q54" i="44"/>
  <c r="F26" i="12"/>
  <c r="C27" i="12" s="1"/>
  <c r="D26" i="12" s="1"/>
  <c r="C32" i="12" s="1"/>
  <c r="D30" i="12" s="1"/>
  <c r="F26" i="44"/>
  <c r="C26" i="44" s="1"/>
  <c r="F21" i="43"/>
  <c r="C23" i="43" s="1"/>
  <c r="D21" i="43" s="1"/>
  <c r="F24" i="15"/>
  <c r="C24" i="15" s="1"/>
  <c r="Q76" i="44"/>
  <c r="Q63" i="44"/>
  <c r="B4" i="67"/>
  <c r="B3" i="67"/>
  <c r="J18" i="15"/>
  <c r="Q75" i="44"/>
  <c r="Q62" i="44"/>
  <c r="C48" i="15"/>
  <c r="J26" i="15" l="1"/>
  <c r="J29" i="15" s="1"/>
  <c r="J24" i="15"/>
  <c r="C52" i="15"/>
  <c r="C47" i="15" s="1"/>
  <c r="C10" i="15"/>
  <c r="C5" i="15" s="1"/>
  <c r="C28" i="12"/>
  <c r="C26" i="12" s="1"/>
  <c r="C31" i="12" s="1"/>
  <c r="C30" i="12" s="1"/>
  <c r="C36" i="12" s="1"/>
  <c r="B2" i="12" s="1"/>
  <c r="C40" i="44"/>
  <c r="J28" i="44"/>
  <c r="J31" i="44" s="1"/>
  <c r="J26" i="44"/>
  <c r="C20" i="15"/>
  <c r="C26" i="15" s="1"/>
  <c r="C20" i="11"/>
  <c r="C21" i="11"/>
  <c r="C22" i="11" s="1"/>
  <c r="C23" i="11" s="1"/>
  <c r="B2" i="11" s="1"/>
  <c r="C35" i="12"/>
  <c r="C33" i="12" s="1"/>
  <c r="C22" i="43"/>
  <c r="C21" i="43" s="1"/>
  <c r="C28" i="43" s="1"/>
  <c r="C30" i="43" s="1"/>
  <c r="C32" i="43" s="1"/>
  <c r="B2" i="43" s="1"/>
  <c r="C22" i="44"/>
  <c r="C28" i="44"/>
  <c r="C25" i="44"/>
  <c r="C31" i="44"/>
  <c r="D19" i="9"/>
  <c r="L44" i="9" l="1"/>
  <c r="G19" i="9"/>
  <c r="D22" i="9"/>
  <c r="B3" i="12"/>
  <c r="B4" i="12"/>
  <c r="B5" i="12"/>
  <c r="Q51" i="44"/>
  <c r="C35" i="44"/>
  <c r="C33" i="44" s="1"/>
  <c r="J16" i="44"/>
  <c r="C15" i="44"/>
  <c r="J21" i="44"/>
  <c r="J19" i="44" s="1"/>
  <c r="C38" i="44"/>
  <c r="Q58" i="44"/>
  <c r="Q49" i="44"/>
  <c r="Q55" i="44" s="1"/>
  <c r="Q67" i="44"/>
  <c r="C38" i="15"/>
  <c r="B5" i="43"/>
  <c r="B4" i="43"/>
  <c r="B3" i="43"/>
  <c r="C23" i="15"/>
  <c r="C29" i="15" s="1"/>
  <c r="B3" i="11"/>
  <c r="B4" i="11"/>
  <c r="B5" i="11"/>
  <c r="C59" i="15"/>
  <c r="C65" i="15"/>
  <c r="D21" i="9"/>
  <c r="D20" i="9"/>
  <c r="G20" i="9" l="1"/>
  <c r="G21" i="9"/>
  <c r="Q72" i="44"/>
  <c r="C39" i="44"/>
  <c r="C43" i="44"/>
  <c r="C32" i="44"/>
  <c r="C42" i="44" s="1"/>
  <c r="C32" i="9"/>
  <c r="N43" i="9"/>
  <c r="G22" i="9"/>
  <c r="C13" i="15"/>
  <c r="C56" i="15"/>
  <c r="Q50" i="15"/>
  <c r="C36" i="15"/>
  <c r="C33" i="15"/>
  <c r="C31" i="15" s="1"/>
  <c r="J14" i="15"/>
  <c r="J19" i="15"/>
  <c r="J17" i="15" s="1"/>
  <c r="J59" i="15"/>
  <c r="J60" i="15" s="1"/>
  <c r="J15" i="44"/>
  <c r="J25" i="44" s="1"/>
  <c r="J24" i="44"/>
  <c r="J18" i="44" l="1"/>
  <c r="J27" i="44" s="1"/>
  <c r="Q49" i="15"/>
  <c r="L46" i="15"/>
  <c r="J13" i="15"/>
  <c r="J23" i="15" s="1"/>
  <c r="J22" i="15"/>
  <c r="C63" i="15"/>
  <c r="C60" i="15"/>
  <c r="C58" i="15" s="1"/>
  <c r="C44" i="44"/>
  <c r="C45" i="44" s="1"/>
  <c r="Q71" i="44"/>
  <c r="Q70" i="44" s="1"/>
  <c r="J16" i="15"/>
  <c r="J25" i="15" s="1"/>
  <c r="C37" i="15"/>
  <c r="C30" i="15" s="1"/>
  <c r="C39" i="15" s="1"/>
  <c r="J35" i="15"/>
  <c r="Q71" i="15"/>
  <c r="C55" i="15"/>
  <c r="C64" i="15" s="1"/>
  <c r="C42" i="9"/>
  <c r="O43" i="9"/>
  <c r="C33" i="9"/>
  <c r="O38" i="9"/>
  <c r="C35" i="9"/>
  <c r="F42" i="9" s="1"/>
  <c r="C34" i="9"/>
  <c r="J39" i="15" l="1"/>
  <c r="J40" i="15" s="1"/>
  <c r="D42" i="9"/>
  <c r="Q5" i="54" s="1"/>
  <c r="B47" i="63" s="1"/>
  <c r="N38" i="9"/>
  <c r="K28" i="9" s="1"/>
  <c r="C44" i="9"/>
  <c r="D63" i="9"/>
  <c r="D14" i="66"/>
  <c r="R5" i="54"/>
  <c r="B48" i="63" s="1"/>
  <c r="N68" i="9"/>
  <c r="Q70" i="15"/>
  <c r="Q69" i="15" s="1"/>
  <c r="C40" i="15"/>
  <c r="C57" i="15"/>
  <c r="C66" i="15" s="1"/>
  <c r="C67" i="15" s="1"/>
  <c r="M38" i="9"/>
  <c r="K27" i="9" s="1"/>
  <c r="E42" i="9"/>
  <c r="P5" i="54" s="1"/>
  <c r="B46" i="63" s="1"/>
  <c r="K26" i="9"/>
  <c r="K25" i="9"/>
  <c r="B2" i="44"/>
  <c r="L52" i="44"/>
  <c r="L51" i="15"/>
  <c r="D15" i="66" l="1"/>
  <c r="Q68" i="15"/>
  <c r="L57" i="15"/>
  <c r="L60" i="15" s="1"/>
  <c r="D71" i="9"/>
  <c r="D66" i="9" s="1"/>
  <c r="N72" i="9" s="1"/>
  <c r="C111" i="9"/>
  <c r="C104" i="9" s="1"/>
  <c r="C103" i="9"/>
  <c r="D73" i="9"/>
  <c r="N73" i="9" s="1"/>
  <c r="D70" i="9"/>
  <c r="C96" i="9"/>
  <c r="C91" i="9" s="1"/>
  <c r="C90" i="9"/>
  <c r="C82" i="9"/>
  <c r="C81" i="9" s="1"/>
  <c r="C85" i="9" s="1"/>
  <c r="C86" i="9" s="1"/>
  <c r="D72" i="9" s="1"/>
  <c r="B3" i="44"/>
  <c r="B4" i="44"/>
  <c r="B5" i="44"/>
  <c r="Q69" i="44"/>
  <c r="L58" i="44"/>
  <c r="L61" i="44" s="1"/>
  <c r="C70" i="15"/>
  <c r="C46" i="15"/>
  <c r="Q57" i="15"/>
  <c r="C43" i="15"/>
  <c r="B2" i="15"/>
  <c r="B3" i="15" s="1"/>
  <c r="Q48" i="15"/>
  <c r="Q54" i="15" s="1"/>
  <c r="Q66" i="15"/>
  <c r="J42" i="15"/>
  <c r="J43" i="15" s="1"/>
  <c r="E16" i="68"/>
  <c r="E14" i="66"/>
  <c r="B5" i="66"/>
  <c r="F14" i="66"/>
  <c r="N69" i="9"/>
  <c r="O39" i="9"/>
  <c r="E44" i="9"/>
  <c r="G14" i="66"/>
  <c r="D44" i="9"/>
  <c r="F44" i="9"/>
  <c r="E15" i="66" l="1"/>
  <c r="F15" i="66"/>
  <c r="E17" i="68"/>
  <c r="C97" i="9"/>
  <c r="C113" i="9"/>
  <c r="G15" i="66"/>
  <c r="B6" i="66" s="1"/>
  <c r="K29" i="9"/>
  <c r="K30" i="9" s="1"/>
  <c r="R6" i="54"/>
  <c r="B50" i="63" s="1"/>
  <c r="M88" i="9"/>
  <c r="N88" i="9" s="1"/>
  <c r="M84" i="9"/>
  <c r="N84" i="9" s="1"/>
  <c r="M83" i="9"/>
  <c r="N83" i="9" s="1"/>
  <c r="M86" i="9"/>
  <c r="N86" i="9" s="1"/>
  <c r="M85" i="9"/>
  <c r="N85" i="9" s="1"/>
  <c r="M87" i="9"/>
  <c r="N87" i="9" s="1"/>
  <c r="C5" i="66"/>
  <c r="D5" i="66"/>
  <c r="Q67" i="15"/>
  <c r="Q76" i="15" s="1"/>
  <c r="Q58" i="15"/>
  <c r="Q63" i="15" s="1"/>
  <c r="Q59" i="44"/>
  <c r="Q64" i="44" s="1"/>
  <c r="Q68" i="44"/>
  <c r="Q77" i="44" s="1"/>
  <c r="C98" i="9"/>
  <c r="E98" i="9" s="1"/>
  <c r="E99" i="9" s="1"/>
  <c r="C114" i="9"/>
  <c r="E114" i="9" s="1"/>
  <c r="E115" i="9" s="1"/>
  <c r="D6" i="66" l="1"/>
  <c r="C6" i="66"/>
  <c r="C115" i="9"/>
  <c r="D76" i="9" s="1"/>
  <c r="D74" i="9" s="1"/>
  <c r="N74" i="9" s="1"/>
  <c r="O77" i="9" s="1"/>
  <c r="C99" i="9"/>
  <c r="N89" i="9"/>
  <c r="O89" i="9" s="1"/>
  <c r="O78" i="9" l="1"/>
  <c r="Q77" i="9"/>
  <c r="O79" i="9"/>
  <c r="C46" i="9" l="1"/>
  <c r="O80" i="9"/>
  <c r="O81" i="9"/>
  <c r="K33" i="9" l="1"/>
  <c r="I14" i="66"/>
  <c r="O41" i="9"/>
  <c r="R8" i="54" s="1"/>
  <c r="B54" i="63" s="1"/>
  <c r="F46" i="9"/>
  <c r="E46" i="9"/>
  <c r="D46" i="9"/>
  <c r="I15" i="66" l="1"/>
  <c r="F17" i="68" s="1"/>
  <c r="F16" i="68"/>
  <c r="B8" i="66"/>
  <c r="K34"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<sst xmlns="http://schemas.openxmlformats.org/spreadsheetml/2006/main" count="7317" uniqueCount="3220">
  <si>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</si>
  <si>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</si>
  <si>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</si>
  <si>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</si>
  <si>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</si>
  <si>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</si>
  <si>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</si>
  <si>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</si>
  <si>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</si>
  <si>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</si>
  <si>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</si>
  <si>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</si>
  <si>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</si>
  <si>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</si>
  <si>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</si>
  <si>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</si>
  <si>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</si>
  <si>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</si>
  <si>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</si>
  <si>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</si>
  <si>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</si>
  <si>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</si>
  <si>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</si>
  <si>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</si>
  <si>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</si>
  <si>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</si>
  <si>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</si>
  <si>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</si>
  <si>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</si>
  <si>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</si>
  <si>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</si>
  <si>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</si>
  <si>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</si>
  <si>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</si>
  <si>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</si>
  <si>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</si>
  <si>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</si>
  <si>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</si>
  <si>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</si>
  <si>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</si>
  <si>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</si>
  <si>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</si>
  <si>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</si>
  <si>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</si>
  <si>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</si>
  <si>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</si>
  <si>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</si>
  <si>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</si>
  <si>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</si>
  <si>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</si>
  <si>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</si>
  <si>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</si>
  <si>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</si>
  <si>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</si>
  <si>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</si>
  <si>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</si>
  <si>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</si>
  <si>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</si>
  <si>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</si>
  <si>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</si>
  <si>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</si>
  <si>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</si>
  <si>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</si>
  <si>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</si>
  <si>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</si>
  <si>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</si>
  <si>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</si>
  <si>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</si>
  <si>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</si>
  <si>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</si>
  <si>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</si>
  <si>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</si>
  <si>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</si>
  <si>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</si>
  <si>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</si>
  <si>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</si>
  <si>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</si>
  <si>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</si>
  <si>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</si>
  <si>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</si>
  <si>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</si>
  <si>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</si>
  <si>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</si>
  <si>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</si>
  <si>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</si>
  <si>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</si>
  <si>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</si>
  <si>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</si>
  <si>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</si>
  <si>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</si>
  <si>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</si>
  <si>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</si>
  <si>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</si>
  <si>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</si>
  <si>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</si>
  <si>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</si>
  <si>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</si>
  <si>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</si>
  <si>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</si>
  <si>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</si>
  <si>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</si>
  <si>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</si>
  <si>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</si>
  <si>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</si>
  <si>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</si>
  <si>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</si>
  <si>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</si>
  <si>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</si>
  <si>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</si>
  <si>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</si>
  <si>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</si>
  <si>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</si>
  <si>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</si>
  <si>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</si>
  <si>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</si>
  <si>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</si>
  <si>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</si>
  <si>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</si>
  <si>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</si>
  <si>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</si>
  <si>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</si>
  <si>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</si>
  <si>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</si>
  <si>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</si>
  <si>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</si>
  <si>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</si>
  <si>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</si>
  <si>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</si>
  <si>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</si>
  <si>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</si>
  <si>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</si>
  <si>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</si>
  <si>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</si>
  <si>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</si>
  <si>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</si>
  <si>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</si>
  <si>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</si>
  <si>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</si>
  <si>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</si>
  <si>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</si>
  <si>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</si>
  <si>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</si>
  <si>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</si>
  <si>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</si>
  <si>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</si>
  <si>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</si>
  <si>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</si>
  <si>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</si>
  <si>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</si>
  <si>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</si>
  <si>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</si>
  <si>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</si>
  <si>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</si>
  <si>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</si>
  <si>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</si>
  <si>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</si>
  <si>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</si>
  <si>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</si>
  <si>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</si>
  <si>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</si>
  <si>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</si>
  <si>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</si>
  <si>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</si>
  <si>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</si>
  <si>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</si>
  <si>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</si>
  <si>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</si>
  <si>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</si>
  <si>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</si>
  <si>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</si>
  <si>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</si>
  <si>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</si>
  <si>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</si>
  <si>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</si>
  <si>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</si>
  <si>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</si>
  <si>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</si>
  <si>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</si>
  <si>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</si>
  <si>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</si>
  <si>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</si>
  <si>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</si>
  <si>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</si>
  <si>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</si>
  <si>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</si>
  <si>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</si>
  <si>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</si>
  <si>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</si>
  <si>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</si>
  <si>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</si>
  <si>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</si>
  <si>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</si>
  <si>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</si>
  <si>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</si>
  <si>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</si>
  <si>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</si>
  <si>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</si>
  <si>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</si>
  <si>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</si>
  <si>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</si>
  <si>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</si>
  <si>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</si>
  <si>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</si>
  <si>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</si>
  <si>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</si>
  <si>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</si>
  <si>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</si>
  <si>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</si>
  <si>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</si>
  <si>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</si>
  <si>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</si>
  <si>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</si>
  <si>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</si>
  <si>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</si>
  <si>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</si>
  <si>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</si>
  <si>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</si>
  <si>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</si>
  <si>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</si>
  <si>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</si>
  <si>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</si>
  <si>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</si>
  <si>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</si>
  <si>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</si>
  <si>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</si>
  <si>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</si>
  <si>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</si>
  <si>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</si>
  <si>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</si>
  <si>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</si>
  <si>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</si>
  <si>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</si>
  <si>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</si>
  <si>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</si>
  <si>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</si>
  <si>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</si>
  <si>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</si>
  <si>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</si>
  <si>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</si>
  <si>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</si>
  <si>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</si>
  <si>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</si>
  <si>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</si>
  <si>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</si>
  <si>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</si>
  <si>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</si>
  <si>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</si>
  <si>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</si>
  <si>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</si>
  <si>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</si>
  <si>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</si>
  <si>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</si>
  <si>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</si>
  <si>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</si>
  <si>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</si>
  <si>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</si>
  <si>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</si>
  <si>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</si>
  <si>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</si>
  <si>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</si>
  <si>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</si>
  <si>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</si>
  <si>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</si>
  <si>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</si>
  <si>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</si>
  <si>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</si>
  <si>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</si>
  <si>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</si>
  <si>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</si>
  <si>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</si>
  <si>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</si>
  <si>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</si>
  <si>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</si>
  <si>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</si>
  <si>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</si>
  <si>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</si>
  <si>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</si>
  <si>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</si>
  <si>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</si>
  <si>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</si>
  <si>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</si>
  <si>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</si>
  <si>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</si>
  <si>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</si>
  <si>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</si>
  <si>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</si>
  <si>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</si>
  <si>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</si>
  <si>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</si>
  <si>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</si>
  <si>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</si>
  <si>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</si>
  <si>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</si>
  <si>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</si>
  <si>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</si>
  <si>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</si>
  <si>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</si>
  <si>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</si>
  <si>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</si>
  <si>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</si>
  <si>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</si>
  <si>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</si>
  <si>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</si>
  <si>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</si>
  <si>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</si>
  <si>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</si>
  <si>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</si>
  <si>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</si>
  <si>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</si>
  <si>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</si>
  <si>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</si>
  <si>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</si>
  <si>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</si>
  <si>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</si>
  <si>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</si>
  <si>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</si>
  <si>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</si>
  <si>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</si>
  <si>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</si>
  <si>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</si>
  <si>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</si>
  <si>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</si>
  <si>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</si>
  <si>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</si>
  <si>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</si>
  <si>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</si>
  <si>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</si>
  <si>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</si>
  <si>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</si>
  <si>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</si>
  <si>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</si>
  <si>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</si>
  <si>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</si>
  <si>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</si>
  <si>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</si>
  <si>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</si>
  <si>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</si>
  <si>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</si>
  <si>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</si>
  <si>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</si>
  <si>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</si>
  <si>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</si>
  <si>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</si>
  <si>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</si>
  <si>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</si>
  <si>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</si>
  <si>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</si>
  <si>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</si>
  <si>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</si>
  <si>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</si>
  <si>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</si>
  <si>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</si>
  <si>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</si>
  <si>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</si>
  <si>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</si>
  <si>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</si>
  <si>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</si>
  <si>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</si>
  <si>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</si>
  <si>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</si>
  <si>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</si>
  <si>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</si>
  <si>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</si>
  <si>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</si>
  <si>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</si>
  <si>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</si>
  <si>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</si>
  <si>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</si>
  <si>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</si>
  <si>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</si>
  <si>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</si>
  <si>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</si>
  <si>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</si>
  <si>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</si>
  <si>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</si>
  <si>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</si>
  <si>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</si>
  <si>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</si>
  <si>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</si>
  <si>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</si>
  <si>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</si>
  <si>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</si>
  <si>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</si>
  <si>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</si>
  <si>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</si>
  <si>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</si>
  <si>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</si>
  <si>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</si>
  <si>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</si>
  <si>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</si>
  <si>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</si>
  <si>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</si>
  <si>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</si>
  <si>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</si>
  <si>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</si>
  <si>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</si>
  <si>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</si>
  <si>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</si>
  <si>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</si>
  <si>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</si>
  <si>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</si>
  <si>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</si>
  <si>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</si>
  <si>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</si>
  <si>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</si>
  <si>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</si>
  <si>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</si>
  <si>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</si>
  <si>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</si>
  <si>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</si>
  <si>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</si>
  <si>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</si>
  <si>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</si>
  <si>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</si>
  <si>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</si>
  <si>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</si>
  <si>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</si>
  <si>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</si>
  <si>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</si>
  <si>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</si>
  <si>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</si>
  <si>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</si>
  <si>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</si>
  <si>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</si>
  <si>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</si>
  <si>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</si>
  <si>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</si>
  <si>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</si>
  <si>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</si>
  <si>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</si>
  <si>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</si>
  <si>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</si>
  <si>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</si>
  <si>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</si>
  <si>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</si>
  <si>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</si>
  <si>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</si>
  <si>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</si>
  <si>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</si>
  <si>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</si>
  <si>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</si>
  <si>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</si>
  <si>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</si>
  <si>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</si>
  <si>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</si>
  <si>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</si>
  <si>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</si>
  <si>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</si>
  <si>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</si>
  <si>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</si>
  <si>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</si>
  <si>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</si>
  <si>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</si>
  <si>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</si>
  <si>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</si>
  <si>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</si>
  <si>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</si>
  <si>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</si>
  <si>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</si>
  <si>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</si>
  <si>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</si>
  <si>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</si>
  <si>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</si>
  <si>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</si>
  <si>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</si>
  <si>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</si>
  <si>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</si>
  <si>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</si>
  <si>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</si>
  <si>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</si>
  <si>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</si>
  <si>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</si>
  <si>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</si>
  <si>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</si>
  <si>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</si>
  <si>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</si>
  <si>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</si>
  <si>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</si>
  <si>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</si>
  <si>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</si>
  <si>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</si>
  <si>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</si>
  <si>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</si>
  <si>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</si>
  <si>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</si>
  <si>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</si>
  <si>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</si>
  <si>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</si>
  <si>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</si>
  <si>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</si>
  <si>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</si>
  <si>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</si>
  <si>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</si>
  <si>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</si>
  <si>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</si>
  <si>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</si>
  <si>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</si>
  <si>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</si>
  <si>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</si>
  <si>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</si>
  <si>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</si>
  <si>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</si>
  <si>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</si>
  <si>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</si>
  <si>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</si>
  <si>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</si>
  <si>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</si>
  <si>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</si>
  <si>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</si>
  <si>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</si>
  <si>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</si>
  <si>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</si>
  <si>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</si>
  <si>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</si>
  <si>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</si>
  <si>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</si>
  <si>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</si>
  <si>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</si>
  <si>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</si>
  <si>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</si>
  <si>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</si>
  <si>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</si>
  <si>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</si>
  <si>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</si>
  <si>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</si>
  <si>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</si>
  <si>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</si>
  <si>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</si>
  <si>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</si>
  <si>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</si>
  <si>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</si>
  <si>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</si>
  <si>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</si>
  <si>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</si>
  <si>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</si>
  <si>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</si>
  <si>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</si>
  <si>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</si>
  <si>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</si>
  <si>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</si>
  <si>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</si>
  <si>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</si>
  <si>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</si>
  <si>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</si>
  <si>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</si>
  <si>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</si>
  <si>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</si>
  <si>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</si>
  <si>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</si>
  <si>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</si>
  <si>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</si>
  <si>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</si>
  <si>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</si>
  <si>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</si>
  <si>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</si>
  <si>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</si>
  <si>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</si>
  <si>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</si>
  <si>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</si>
  <si>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</si>
  <si>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</si>
  <si>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</si>
  <si>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</si>
  <si>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</si>
  <si>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</si>
  <si>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</si>
  <si>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</si>
  <si>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</si>
  <si>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</si>
  <si>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</si>
  <si>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</si>
  <si>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</si>
  <si>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</si>
  <si>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</si>
  <si>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</si>
  <si>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</si>
  <si>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</si>
  <si>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</si>
  <si>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</si>
  <si>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</si>
  <si>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</si>
  <si>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</si>
  <si>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</si>
  <si>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</si>
  <si>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</si>
  <si>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</si>
  <si>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</si>
  <si>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</si>
  <si>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</si>
  <si>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</si>
  <si>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</si>
  <si>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</si>
  <si>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</si>
  <si>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</si>
  <si>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</si>
  <si>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</si>
  <si>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</si>
  <si>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</si>
  <si>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</si>
  <si>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</si>
  <si>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</si>
  <si>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</si>
  <si>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</si>
  <si>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</si>
  <si>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</si>
  <si>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</si>
  <si>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</si>
  <si>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</si>
  <si>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</si>
  <si>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</si>
  <si>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</si>
  <si>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</si>
  <si>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</si>
  <si>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</si>
  <si>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</si>
  <si>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</si>
  <si>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</si>
  <si>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</si>
  <si>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</si>
  <si>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</si>
  <si>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</si>
  <si>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</si>
  <si>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</si>
  <si>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</si>
  <si>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</si>
  <si>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</si>
  <si>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</si>
  <si>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</si>
  <si>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</si>
  <si>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</si>
  <si>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</si>
  <si>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</si>
  <si>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</si>
  <si>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</si>
  <si>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</si>
  <si>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</si>
  <si>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</si>
  <si>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</si>
  <si>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</si>
  <si>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</si>
  <si>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</si>
  <si>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</si>
  <si>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</si>
  <si>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</si>
  <si>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</si>
  <si>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</si>
  <si>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</si>
  <si>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</si>
  <si>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</si>
  <si>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</si>
  <si>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</si>
  <si>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</si>
  <si>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</si>
  <si>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</si>
  <si>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</si>
  <si>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</si>
  <si>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</si>
  <si>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</si>
  <si>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</si>
  <si>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</si>
  <si>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</si>
  <si>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</si>
  <si>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</si>
  <si>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</si>
  <si>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</si>
  <si>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</si>
  <si>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</si>
  <si>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</si>
  <si>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</si>
  <si>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</si>
  <si>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</si>
  <si>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</si>
  <si>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</si>
  <si>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</si>
  <si>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</si>
  <si>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</si>
  <si>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</si>
  <si>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</si>
  <si>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</si>
  <si>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</si>
  <si>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</si>
  <si>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</si>
  <si>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</si>
  <si>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</si>
  <si>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</si>
  <si>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</si>
  <si>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</si>
  <si>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</si>
  <si>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</si>
  <si>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</si>
  <si>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</si>
  <si>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</si>
  <si>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</si>
  <si>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</si>
  <si>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</si>
  <si>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</si>
  <si>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</si>
  <si>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</si>
  <si>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</si>
  <si>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</si>
  <si>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</si>
  <si>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</si>
  <si>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</si>
  <si>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</si>
  <si>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</si>
  <si>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</si>
  <si>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</si>
  <si>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</si>
  <si>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</si>
  <si>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</si>
  <si>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</si>
  <si>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</si>
  <si>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</si>
  <si>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</si>
  <si>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</si>
  <si>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</si>
  <si>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</si>
  <si>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</si>
  <si>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</si>
  <si>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</si>
  <si>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</si>
  <si>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</si>
  <si>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</si>
  <si>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</si>
  <si>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</si>
  <si>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</si>
  <si>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</si>
  <si>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</si>
  <si>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</si>
  <si>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</si>
  <si>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</si>
  <si>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</si>
  <si>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</si>
  <si>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</si>
  <si>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</si>
  <si>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</si>
  <si>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</si>
  <si>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</si>
  <si>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</si>
  <si>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</si>
  <si>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</si>
  <si>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</si>
  <si>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</si>
  <si>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</si>
  <si>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</si>
  <si>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</si>
  <si>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</si>
  <si>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</si>
  <si>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</si>
  <si>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</si>
  <si>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</si>
  <si>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</si>
  <si>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</si>
  <si>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</si>
  <si>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</si>
  <si>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</si>
  <si>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</si>
  <si>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</si>
  <si>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</si>
  <si>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</si>
  <si>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</si>
  <si>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</si>
  <si>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</si>
  <si>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</si>
  <si>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</si>
  <si>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</si>
  <si>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</si>
  <si>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</si>
  <si>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</si>
  <si>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</si>
  <si>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</si>
  <si>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</si>
  <si>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</si>
  <si>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</si>
  <si>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</si>
  <si>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</si>
  <si>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</si>
  <si>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</si>
  <si>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</si>
  <si>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</si>
  <si>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</si>
  <si>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</si>
  <si>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</si>
  <si>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</si>
  <si>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</si>
  <si>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</si>
  <si>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</si>
  <si>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</si>
  <si>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</si>
  <si>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</si>
  <si>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</si>
  <si>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</si>
  <si>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</si>
  <si>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</si>
  <si>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</si>
  <si>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</si>
  <si>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</si>
  <si>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</si>
  <si>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</si>
  <si>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</si>
  <si>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</si>
  <si>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</si>
  <si>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</si>
  <si>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</si>
  <si>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</si>
  <si>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</si>
  <si>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</si>
  <si>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</si>
  <si>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</si>
  <si>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</si>
  <si>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</si>
  <si>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</si>
  <si>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</si>
  <si>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</si>
  <si>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</si>
  <si>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</si>
  <si>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</si>
  <si>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</si>
  <si>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</si>
  <si>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</si>
  <si>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</si>
  <si>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</si>
  <si>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</si>
  <si>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</si>
  <si>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</si>
  <si>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</si>
  <si>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</si>
  <si>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</si>
  <si>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</si>
  <si>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</si>
  <si>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</si>
  <si>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</si>
  <si>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</si>
  <si>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</si>
  <si>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</si>
  <si>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</si>
  <si>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</si>
  <si>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</si>
  <si>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</si>
  <si>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</si>
  <si>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</si>
  <si>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</si>
  <si>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</si>
  <si>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</si>
  <si>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</si>
  <si>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</si>
  <si>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</si>
  <si>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</si>
  <si>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</si>
  <si>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</si>
  <si>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</si>
  <si>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</si>
  <si>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</si>
  <si>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</si>
  <si>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</si>
  <si>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</si>
  <si>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</si>
  <si>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</si>
  <si>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</si>
  <si>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</si>
  <si>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</si>
  <si>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</si>
  <si>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</si>
  <si>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</si>
  <si>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</si>
  <si>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</si>
  <si>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</si>
  <si>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</si>
  <si>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</si>
  <si>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</si>
  <si>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</si>
  <si>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</si>
  <si>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</si>
  <si>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</si>
  <si>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</si>
  <si>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</si>
  <si>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</si>
  <si>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</si>
  <si>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</si>
  <si>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</si>
  <si>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</si>
  <si>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</si>
  <si>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</si>
  <si>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</si>
  <si>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</si>
  <si>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</si>
  <si>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</si>
  <si>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</si>
  <si>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</si>
  <si>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</si>
  <si>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</si>
  <si>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</si>
  <si>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</si>
  <si>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</si>
  <si>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</si>
  <si>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</si>
  <si>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</si>
  <si>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</si>
  <si>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</si>
  <si>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</si>
  <si>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</si>
  <si>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</si>
  <si>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</si>
  <si>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</si>
  <si>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</si>
  <si>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</si>
  <si>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</si>
  <si>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</si>
  <si>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</si>
  <si>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</si>
  <si>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</si>
  <si>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</si>
  <si>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</si>
  <si>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</si>
  <si>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</si>
  <si>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</si>
  <si>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</si>
  <si>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</si>
  <si>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</si>
  <si>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</si>
  <si>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</si>
  <si>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</si>
  <si>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</si>
  <si>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</si>
  <si>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</si>
  <si>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</si>
  <si>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</si>
  <si>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</si>
  <si>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</si>
  <si>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</si>
  <si>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</si>
  <si>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</si>
  <si>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</si>
  <si>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</si>
  <si>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</si>
  <si>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</si>
  <si>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</si>
  <si>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</si>
  <si>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</si>
  <si>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</si>
  <si>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</si>
  <si>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</si>
  <si>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</si>
  <si>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</si>
  <si>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</si>
  <si>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</si>
  <si>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</si>
  <si>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</si>
  <si>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</si>
  <si>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</si>
  <si>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</si>
  <si>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</si>
  <si>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</si>
  <si>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</si>
  <si>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</si>
  <si>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</si>
  <si>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</si>
  <si>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</si>
  <si>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</si>
  <si>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</si>
  <si>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</si>
  <si>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</si>
  <si>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</si>
  <si>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</si>
  <si>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</si>
  <si>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</si>
  <si>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</si>
  <si>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</si>
  <si>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</si>
  <si>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</si>
  <si>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</si>
  <si>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</si>
  <si>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</si>
  <si>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</si>
  <si>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</si>
  <si>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</si>
  <si>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</si>
  <si>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</si>
  <si>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</si>
  <si>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</si>
  <si>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</si>
  <si>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</si>
  <si>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</si>
  <si>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</si>
  <si>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</si>
  <si>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</si>
  <si>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</si>
  <si>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</si>
  <si>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</si>
  <si>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</si>
  <si>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</si>
  <si>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</si>
  <si>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</si>
  <si>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</si>
  <si>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</si>
  <si>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</si>
  <si>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</si>
  <si>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</si>
  <si>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</si>
  <si>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</si>
  <si>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</si>
  <si>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</si>
  <si>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</si>
  <si>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</si>
  <si>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</si>
  <si>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</si>
  <si>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</si>
  <si>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</si>
  <si>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</si>
  <si>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</si>
  <si>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</si>
  <si>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</si>
  <si>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</si>
  <si>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</si>
  <si>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</si>
  <si>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</si>
  <si>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</si>
  <si>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</si>
  <si>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</si>
  <si>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</si>
  <si>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</si>
  <si>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</si>
  <si>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</si>
  <si>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</si>
  <si>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</si>
  <si>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</si>
  <si>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</si>
  <si>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</si>
  <si>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</si>
  <si>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</si>
  <si>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</si>
  <si>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</si>
  <si>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</si>
  <si>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</si>
  <si>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</si>
  <si>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</si>
  <si>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</si>
  <si>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</si>
  <si>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</si>
  <si>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</si>
  <si>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</si>
  <si>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</si>
  <si>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</si>
  <si>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</si>
  <si>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</si>
  <si>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</si>
  <si>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</si>
  <si>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</si>
  <si>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</si>
  <si>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</si>
  <si>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</si>
  <si>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</si>
  <si>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</si>
  <si>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</si>
  <si>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</si>
  <si>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</si>
  <si>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</si>
  <si>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</si>
  <si>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</si>
  <si>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</si>
  <si>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</si>
  <si>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</si>
  <si>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</si>
  <si>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</si>
  <si>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</si>
  <si>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</si>
  <si>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</si>
  <si>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</si>
  <si>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</si>
  <si>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</si>
  <si>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</si>
  <si>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</si>
  <si>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</si>
  <si>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</si>
  <si>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</si>
  <si>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</si>
  <si>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</si>
  <si>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</si>
  <si>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</si>
  <si>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</si>
  <si>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</si>
  <si>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</si>
  <si>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</si>
  <si>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</si>
  <si>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</si>
  <si>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</si>
  <si>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</si>
  <si>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</si>
  <si>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</si>
  <si>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</si>
  <si>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</si>
  <si>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</si>
  <si>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</si>
  <si>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</si>
  <si>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</si>
  <si>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</si>
  <si>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</si>
  <si>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</si>
  <si>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</si>
  <si>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</si>
  <si>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</si>
  <si>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</si>
  <si>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</si>
  <si>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</si>
  <si>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</si>
  <si>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</si>
  <si>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</si>
  <si>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</si>
  <si>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</si>
  <si>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</si>
  <si>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</si>
  <si>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</si>
  <si>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</si>
  <si>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</si>
  <si>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</si>
  <si>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</si>
  <si>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</si>
  <si>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</si>
  <si>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</si>
  <si>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</si>
  <si>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</si>
  <si>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</si>
  <si>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</si>
  <si>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</si>
  <si>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</si>
  <si>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</si>
  <si>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</si>
  <si>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</si>
  <si>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</si>
  <si>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</si>
  <si>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</si>
  <si>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</si>
  <si>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</si>
  <si>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</si>
  <si>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</si>
  <si>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</si>
  <si>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</si>
  <si>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</si>
  <si>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</si>
  <si>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</si>
  <si>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</si>
  <si>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</si>
  <si>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</si>
  <si>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</si>
  <si>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</si>
  <si>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</si>
  <si>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</si>
  <si>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</si>
  <si>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</si>
  <si>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</si>
  <si>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</si>
  <si>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</si>
  <si>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</si>
  <si>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</si>
  <si>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</si>
  <si>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</si>
  <si>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</si>
  <si>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</si>
  <si>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</si>
  <si>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</si>
  <si>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</si>
  <si>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</si>
  <si>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</si>
  <si>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</si>
  <si>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</si>
  <si>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</si>
  <si>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</si>
  <si>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</si>
  <si>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</si>
  <si>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</si>
  <si>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</si>
  <si>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</si>
  <si>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</si>
  <si>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</si>
  <si>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</si>
  <si>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</si>
  <si>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</si>
  <si>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</si>
  <si>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</si>
  <si>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</si>
  <si>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</si>
  <si>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</si>
  <si>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</si>
  <si>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</si>
  <si>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</si>
  <si>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</si>
  <si>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</si>
  <si>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</si>
  <si>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</si>
  <si>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</si>
  <si>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</si>
  <si>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</si>
  <si>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</si>
  <si>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</si>
  <si>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</si>
  <si>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</si>
  <si>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</si>
  <si>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</si>
  <si>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</si>
  <si>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</si>
  <si>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</si>
  <si>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</si>
  <si>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</si>
  <si>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</si>
  <si>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</si>
  <si>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</si>
  <si>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</si>
  <si>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</si>
  <si>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</si>
  <si>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</si>
  <si>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</si>
  <si>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</si>
  <si>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</si>
  <si>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</si>
  <si>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</si>
  <si>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</si>
  <si>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</si>
  <si>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</si>
  <si>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</si>
  <si>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</si>
  <si>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</si>
  <si>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</si>
  <si>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</si>
  <si>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</si>
  <si>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</si>
  <si>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</si>
  <si>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</si>
  <si>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</si>
  <si>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</si>
  <si>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</si>
  <si>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</si>
  <si>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</si>
  <si>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</si>
  <si>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</si>
  <si>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</si>
  <si>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</si>
  <si>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</si>
  <si>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</si>
  <si>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</si>
  <si>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</si>
  <si>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</si>
  <si>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</si>
  <si>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</si>
  <si>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</si>
  <si>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</si>
  <si>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</si>
  <si>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</si>
  <si>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</si>
  <si>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</si>
  <si>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</si>
  <si>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</si>
  <si>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</si>
  <si>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</si>
  <si>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</si>
  <si>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</si>
  <si>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</si>
  <si>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</si>
  <si>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</si>
  <si>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</si>
  <si>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</si>
  <si>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</si>
  <si>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</si>
  <si>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</si>
  <si>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</si>
  <si>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</si>
  <si>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</si>
  <si>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</si>
  <si>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</si>
  <si>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</si>
  <si>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</si>
  <si>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</si>
  <si>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</si>
  <si>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</si>
  <si>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</si>
  <si>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</si>
  <si>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</si>
  <si>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</si>
  <si>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</si>
  <si>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</si>
  <si>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</si>
  <si>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</si>
  <si>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</si>
  <si>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</si>
  <si>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</si>
  <si>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</si>
  <si>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</si>
  <si>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</si>
  <si>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</si>
  <si>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</si>
  <si>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</si>
  <si>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</si>
  <si>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</si>
  <si>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</si>
  <si>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</si>
  <si>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</si>
  <si>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</si>
  <si>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</si>
  <si>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</si>
  <si>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</si>
  <si>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</si>
  <si>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</si>
  <si>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</si>
  <si>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</si>
  <si>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</si>
  <si>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</si>
  <si>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</si>
  <si>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</si>
  <si>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</si>
  <si>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</si>
  <si>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</si>
  <si>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</si>
  <si>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</si>
  <si>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</si>
  <si>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</si>
  <si>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</si>
  <si>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</si>
  <si>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</si>
  <si>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</si>
  <si>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</si>
  <si>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</si>
  <si>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</si>
  <si>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</si>
  <si>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</si>
  <si>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</si>
  <si>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</si>
  <si>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</si>
  <si>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</si>
  <si>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</si>
  <si>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</si>
  <si>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</si>
  <si>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</si>
  <si>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</si>
  <si>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</si>
  <si>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</si>
  <si>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</si>
  <si>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</si>
  <si>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</si>
  <si>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</si>
  <si>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</si>
  <si>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</si>
  <si>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</si>
  <si>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</si>
  <si>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</si>
  <si>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</si>
  <si>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</si>
  <si>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</si>
  <si>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</si>
  <si>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</si>
  <si>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</si>
  <si>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</si>
  <si>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</si>
  <si>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</si>
  <si>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</si>
  <si>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</si>
  <si>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</si>
  <si>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</si>
  <si>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</si>
  <si>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</si>
  <si>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</si>
  <si>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</si>
  <si>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</si>
  <si>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</si>
  <si>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</si>
  <si>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</si>
  <si>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</si>
  <si>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</si>
  <si>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</si>
  <si>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</si>
  <si>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</si>
  <si>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</si>
  <si>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</si>
  <si>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</si>
  <si>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</si>
  <si>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</si>
  <si>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</si>
  <si>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</si>
  <si>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</si>
  <si>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</si>
  <si>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</si>
  <si>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</si>
  <si>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</si>
  <si>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</si>
  <si>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</si>
  <si>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</si>
  <si>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</si>
  <si>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</si>
  <si>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</si>
  <si>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</si>
  <si>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</si>
  <si>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</si>
  <si>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</si>
  <si>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</si>
  <si>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</si>
  <si>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</si>
  <si>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</si>
  <si>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</si>
  <si>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</si>
  <si>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</si>
  <si>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</si>
  <si>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</si>
  <si>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</si>
  <si>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</si>
  <si>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</si>
  <si>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</si>
  <si>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</si>
  <si>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</si>
  <si>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</si>
  <si>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</si>
  <si>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</si>
  <si>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</si>
  <si>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</si>
  <si>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</si>
  <si>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</si>
  <si>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</si>
  <si>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</si>
  <si>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</si>
  <si>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</si>
  <si>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</si>
  <si>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</si>
  <si>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</si>
  <si>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</si>
  <si>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</si>
  <si>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</si>
  <si>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</si>
  <si>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</si>
  <si>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</si>
  <si>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</si>
  <si>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</si>
  <si>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</si>
  <si>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</si>
  <si>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</si>
  <si>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</si>
  <si>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</si>
  <si>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</si>
  <si>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</si>
  <si>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</si>
  <si>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</si>
  <si>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</si>
  <si>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</si>
  <si>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</si>
  <si>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</si>
  <si>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</si>
  <si>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</si>
  <si>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</si>
  <si>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</si>
  <si>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</si>
  <si>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</si>
  <si>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</si>
  <si>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</si>
  <si>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</si>
  <si>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</si>
  <si>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</si>
  <si>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</si>
  <si>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</si>
  <si>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</si>
  <si>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</si>
  <si>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</si>
  <si>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</si>
  <si>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</si>
  <si>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</si>
  <si>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</si>
  <si>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</si>
  <si>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</si>
  <si>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</si>
  <si>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</si>
  <si>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</si>
  <si>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</si>
  <si>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</si>
  <si>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</si>
  <si>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</si>
  <si>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</si>
  <si>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</si>
  <si>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</si>
  <si>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</si>
  <si>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</si>
  <si>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</si>
  <si>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</si>
  <si>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</si>
  <si>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</si>
  <si>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</si>
  <si>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</si>
  <si>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</si>
  <si>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</si>
  <si>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</si>
  <si>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</si>
  <si>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</si>
  <si>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</si>
  <si>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</si>
  <si>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</si>
  <si>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</si>
  <si>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</si>
  <si>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</si>
  <si>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</si>
  <si>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</si>
  <si>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</si>
  <si>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</si>
  <si>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</si>
  <si>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</si>
  <si>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</si>
  <si>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</si>
  <si>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</si>
  <si>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</si>
  <si>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</si>
  <si>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</si>
  <si>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</si>
  <si>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</si>
  <si>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</si>
  <si>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</si>
  <si>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</si>
  <si>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</si>
  <si>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</si>
  <si>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</si>
  <si>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</si>
  <si>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</si>
  <si>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</si>
  <si>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</si>
  <si>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</si>
  <si>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</si>
  <si>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</si>
  <si>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</si>
  <si>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</si>
  <si>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</si>
  <si>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</si>
  <si>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</si>
  <si>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</si>
  <si>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</si>
  <si>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</si>
  <si>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</si>
  <si>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</si>
  <si>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</si>
  <si>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</si>
  <si>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</si>
  <si>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</si>
  <si>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</si>
  <si>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</si>
  <si>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</si>
  <si>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</si>
  <si>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</si>
  <si>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</si>
  <si>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</si>
  <si>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</si>
  <si>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</si>
  <si>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</si>
  <si>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</si>
  <si>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</si>
  <si>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</si>
  <si>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</si>
  <si>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</si>
  <si>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</si>
  <si>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</si>
  <si>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</si>
  <si>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</si>
  <si>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</si>
  <si>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</si>
  <si>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</si>
  <si>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</si>
  <si>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</si>
  <si>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</si>
  <si>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</si>
  <si>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</si>
  <si>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</si>
  <si>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</si>
  <si>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</si>
  <si>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</si>
  <si>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</si>
  <si>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</si>
  <si>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</si>
  <si>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</si>
  <si>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</si>
  <si>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</si>
  <si>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</si>
  <si>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</si>
  <si>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</si>
  <si>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</si>
  <si>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</si>
  <si>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</si>
  <si>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</si>
  <si>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</si>
  <si>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</si>
  <si>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</si>
  <si>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</si>
  <si>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</si>
  <si>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</si>
  <si>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</si>
  <si>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</si>
  <si>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</si>
  <si>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</si>
  <si>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</si>
  <si>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</si>
  <si>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</si>
  <si>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</si>
  <si>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</si>
  <si>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</si>
  <si>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</si>
  <si>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</si>
  <si>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</si>
  <si>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</si>
  <si>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</si>
  <si>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</si>
  <si>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</si>
  <si>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</si>
  <si>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</si>
  <si>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</si>
  <si>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</si>
  <si>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</si>
  <si>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</si>
  <si>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</si>
  <si>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</si>
  <si>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</si>
  <si>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</si>
  <si>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</si>
  <si>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</si>
  <si>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</si>
  <si>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</si>
  <si>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</si>
  <si>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</si>
  <si>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</si>
  <si>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</si>
  <si>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</si>
  <si>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</si>
  <si>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</si>
  <si>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</si>
  <si>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</si>
  <si>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</si>
  <si>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</si>
  <si>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</si>
  <si>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</si>
  <si>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</si>
  <si>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</si>
  <si>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</si>
  <si>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</si>
  <si>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</si>
  <si>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</si>
  <si>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</si>
  <si>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</si>
  <si>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</si>
  <si>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</si>
  <si>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</si>
  <si>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</si>
  <si>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</si>
  <si>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</si>
  <si>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</si>
  <si>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</si>
  <si>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</si>
  <si>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</si>
  <si>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</si>
  <si>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</si>
  <si>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</si>
  <si>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</si>
  <si>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</si>
  <si>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</si>
  <si>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</si>
  <si>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</si>
  <si>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</si>
  <si>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</si>
  <si>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</si>
  <si>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</si>
  <si>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</si>
  <si>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</si>
  <si>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</si>
  <si>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</si>
  <si>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</si>
  <si>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</si>
  <si>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</si>
  <si>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</si>
  <si>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</si>
  <si>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</si>
  <si>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</si>
  <si>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</si>
  <si>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</si>
  <si>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</si>
  <si>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</si>
  <si>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</si>
  <si>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</si>
  <si>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</si>
  <si>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</si>
  <si>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</si>
  <si>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</si>
  <si>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</si>
  <si>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</si>
  <si>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</si>
  <si>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</si>
  <si>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</si>
  <si>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</si>
  <si>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</si>
  <si>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</si>
  <si>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</si>
  <si>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</si>
  <si>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</si>
  <si>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</si>
  <si>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</si>
  <si>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</si>
  <si>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</si>
  <si>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</si>
  <si>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</si>
  <si>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</si>
  <si>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</si>
  <si>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</si>
  <si>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</si>
  <si>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</si>
  <si>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</si>
  <si>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</si>
  <si>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</si>
  <si>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</si>
  <si>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</si>
  <si>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</si>
  <si>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</si>
  <si>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</si>
  <si>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</si>
  <si>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</si>
  <si>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</si>
  <si>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</si>
  <si>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</si>
  <si>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</si>
  <si>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</si>
  <si>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</si>
  <si>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</si>
  <si>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</si>
  <si>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</si>
  <si>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</si>
  <si>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</si>
  <si>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</si>
  <si>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</si>
  <si>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</si>
  <si>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</si>
  <si>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</si>
  <si>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</si>
  <si>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</si>
  <si>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</si>
  <si>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</si>
  <si>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</si>
  <si>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</si>
  <si>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</si>
  <si>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</si>
  <si>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</si>
  <si>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</si>
  <si>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</si>
  <si>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</si>
  <si>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</si>
  <si>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</si>
  <si>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</si>
  <si>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</si>
  <si>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</si>
  <si>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</si>
  <si>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</si>
  <si>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</si>
  <si>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</si>
  <si>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</si>
  <si>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</si>
  <si>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</si>
  <si>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</si>
  <si>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</si>
  <si>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</si>
  <si>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</si>
  <si>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</si>
  <si>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</si>
  <si>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</si>
  <si>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</si>
  <si>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</si>
  <si>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</si>
  <si>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</si>
  <si>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</si>
  <si>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</si>
  <si>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</si>
  <si>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</si>
  <si>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</si>
  <si>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</si>
  <si>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</si>
  <si>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</si>
  <si>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</si>
  <si>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</si>
  <si>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</si>
  <si>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</si>
  <si>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</si>
  <si>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</si>
  <si>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</si>
  <si>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</si>
  <si>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</si>
  <si>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</si>
  <si>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</si>
  <si>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</si>
  <si>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</si>
  <si>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</si>
  <si>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</si>
  <si>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</si>
  <si>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</si>
  <si>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</si>
  <si>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</si>
  <si>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</si>
  <si>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</si>
  <si>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</si>
  <si>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</si>
  <si>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</si>
  <si>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</si>
  <si>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</si>
  <si>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</si>
  <si>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</si>
  <si>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</si>
  <si>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</si>
  <si>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</si>
  <si>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</si>
  <si>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</si>
  <si>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</si>
  <si>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</si>
  <si>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</si>
  <si>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</si>
  <si>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</si>
  <si>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</si>
  <si>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</si>
  <si>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</si>
  <si>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</si>
  <si>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</si>
  <si>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</si>
  <si>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</si>
  <si>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</si>
  <si>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</si>
  <si>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</si>
  <si>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</si>
  <si>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</si>
  <si>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</si>
  <si>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</si>
  <si>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</si>
  <si>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</si>
  <si>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</si>
  <si>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</si>
  <si>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</si>
  <si>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</si>
  <si>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</si>
  <si>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</si>
  <si>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</si>
  <si>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</si>
  <si>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</si>
  <si>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</si>
  <si>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</si>
  <si>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</si>
  <si>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</si>
  <si>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</si>
  <si>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</si>
  <si>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</si>
  <si>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</si>
  <si>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</si>
  <si>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</si>
  <si>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</si>
  <si>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</si>
  <si>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</si>
  <si>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</si>
  <si>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</si>
  <si>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</si>
  <si>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</si>
  <si>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</si>
  <si>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</si>
  <si>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</si>
  <si>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</si>
  <si>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</si>
  <si>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</si>
  <si>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</si>
  <si>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</si>
  <si>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</si>
  <si>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</si>
  <si>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</si>
  <si>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</si>
  <si>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</si>
  <si>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</si>
  <si>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</si>
  <si>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</si>
  <si>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</si>
  <si>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</si>
  <si>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</si>
  <si>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</si>
  <si>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</si>
  <si>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</si>
  <si>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</si>
  <si>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</si>
  <si>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</si>
  <si>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</si>
  <si>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</si>
  <si>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</si>
  <si>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</si>
  <si>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</si>
  <si>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</si>
  <si>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</si>
  <si>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</si>
  <si>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</si>
  <si>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</si>
  <si>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</si>
  <si>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</si>
  <si>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</si>
  <si>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</si>
  <si>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</si>
  <si>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</si>
  <si>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</si>
  <si>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</si>
  <si>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</si>
  <si>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</si>
  <si>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</si>
  <si>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</si>
  <si>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</si>
  <si>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</si>
  <si>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</si>
  <si>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</si>
  <si>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</si>
  <si>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</si>
  <si>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</si>
  <si>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</si>
  <si>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</si>
  <si>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</si>
  <si>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</si>
  <si>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</si>
  <si>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</si>
  <si>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</si>
  <si>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</si>
  <si>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</si>
  <si>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</si>
  <si>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</si>
  <si>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</si>
  <si>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</si>
  <si>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</si>
  <si>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</si>
  <si>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</si>
  <si>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</si>
  <si>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</si>
  <si>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</si>
  <si>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</si>
  <si>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</si>
  <si>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</si>
  <si>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</si>
  <si>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</si>
  <si>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</si>
  <si>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</si>
  <si>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</si>
  <si>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</si>
  <si>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</si>
  <si>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</si>
  <si>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</si>
  <si>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</si>
  <si>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</si>
  <si>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</si>
  <si>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</si>
  <si>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</si>
  <si>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</si>
  <si>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</si>
  <si>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</si>
  <si>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</si>
  <si>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</si>
  <si>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</si>
  <si>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</si>
  <si>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</si>
  <si>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</si>
  <si>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</si>
  <si>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</si>
  <si>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</si>
  <si>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</si>
  <si>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</si>
  <si>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</si>
  <si>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</si>
  <si>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</si>
  <si>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</si>
  <si>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</si>
  <si>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</si>
  <si>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</si>
  <si>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</si>
  <si>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</si>
  <si>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</si>
  <si>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</si>
  <si>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</si>
  <si>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</si>
  <si>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</si>
  <si>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</si>
  <si>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</si>
  <si>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</si>
  <si>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</si>
  <si>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</si>
  <si>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</si>
  <si>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</si>
  <si>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</si>
  <si>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</si>
  <si>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</si>
  <si>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</si>
  <si>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</si>
  <si>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</si>
  <si>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</si>
  <si>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</si>
  <si>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</si>
  <si>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</si>
  <si>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</si>
  <si>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</si>
  <si>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</si>
  <si>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</si>
  <si>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</si>
  <si>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</si>
  <si>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</si>
  <si>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</si>
  <si>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</si>
  <si>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</si>
  <si>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</si>
  <si>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</si>
  <si>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</si>
  <si>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</si>
  <si>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</si>
  <si>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</si>
  <si>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</si>
  <si>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</si>
  <si>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</si>
  <si>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</si>
  <si>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</si>
  <si>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</si>
  <si>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</si>
  <si>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</si>
  <si>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</si>
  <si>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</si>
  <si>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</si>
  <si>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</si>
  <si>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</si>
  <si>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</si>
  <si>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</si>
  <si>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</si>
  <si>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</si>
  <si>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</si>
  <si>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</si>
  <si>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</si>
  <si>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</si>
  <si>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</si>
  <si>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</si>
  <si>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</si>
  <si>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</si>
  <si>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</si>
  <si>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</si>
  <si>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</si>
  <si>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</si>
  <si>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</si>
  <si>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</si>
  <si>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</si>
  <si>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</si>
  <si>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</si>
  <si>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</si>
  <si>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</si>
  <si>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</si>
  <si>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</si>
  <si>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</si>
  <si>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</si>
  <si>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</si>
  <si>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</si>
  <si>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</si>
  <si>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</si>
  <si>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</si>
  <si>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</si>
  <si>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</si>
  <si>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</si>
  <si>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</si>
  <si>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</si>
  <si>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</si>
  <si>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</si>
  <si>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</si>
  <si>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</si>
  <si>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</si>
  <si>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</si>
  <si>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</si>
  <si>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</si>
  <si>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</si>
  <si>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</si>
  <si>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</si>
  <si>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</si>
  <si>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</si>
  <si>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</si>
  <si>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</si>
  <si>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</si>
  <si>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</si>
  <si>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</si>
  <si>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</si>
  <si>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</si>
  <si>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</si>
  <si>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</si>
  <si>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</si>
  <si>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</si>
  <si>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</si>
  <si>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</si>
  <si>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</si>
  <si>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</si>
  <si>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</si>
  <si>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</si>
  <si>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</si>
  <si>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</si>
  <si>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</si>
  <si>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</si>
  <si>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</si>
  <si>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</si>
  <si>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</si>
  <si>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</si>
  <si>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</si>
  <si>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</si>
  <si>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</si>
  <si>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</si>
  <si>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</si>
  <si>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</si>
  <si>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</si>
  <si>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</si>
  <si>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</si>
  <si>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</si>
  <si>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</si>
  <si>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</si>
  <si>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</si>
  <si>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</si>
  <si>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</si>
  <si>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</si>
  <si>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</si>
  <si>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</si>
  <si>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</si>
  <si>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</si>
  <si>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</si>
  <si>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</si>
  <si>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</si>
  <si>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</si>
  <si>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</si>
  <si>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</si>
  <si>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</si>
  <si>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</si>
  <si>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</si>
  <si>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</si>
  <si>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</si>
  <si>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</si>
  <si>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</si>
  <si>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</si>
  <si>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</si>
  <si>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</si>
  <si>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</si>
  <si>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</si>
  <si>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</si>
  <si>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</si>
  <si>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</si>
  <si>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</si>
  <si>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</si>
  <si>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</si>
  <si>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</si>
  <si>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</si>
  <si>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</si>
  <si>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</si>
  <si>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</si>
  <si>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</si>
  <si>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</si>
  <si>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</si>
  <si>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</si>
  <si>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</si>
  <si>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</si>
  <si>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</si>
  <si>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</si>
  <si>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</si>
  <si>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</si>
  <si>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</si>
  <si>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</si>
  <si>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</si>
  <si>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</si>
  <si>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</si>
  <si>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</si>
  <si>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</si>
  <si>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</si>
  <si>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</si>
  <si>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</si>
  <si>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</si>
  <si>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</si>
  <si>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</si>
  <si>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</si>
  <si>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</si>
  <si>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</si>
  <si>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</si>
  <si>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</si>
  <si>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</si>
  <si>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</si>
  <si>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</si>
  <si>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</si>
  <si>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</si>
  <si>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</si>
  <si>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</si>
  <si>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</si>
  <si>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</si>
  <si>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</si>
  <si>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</si>
  <si>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</si>
  <si>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</si>
  <si>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</si>
  <si>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</si>
  <si>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</si>
  <si>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</si>
  <si>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</si>
  <si>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</si>
  <si>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</si>
  <si>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</si>
  <si>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</si>
  <si>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</si>
  <si>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</si>
  <si>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</si>
  <si>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</si>
  <si>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</si>
  <si>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</si>
  <si>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</si>
  <si>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</si>
  <si>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</si>
  <si>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</si>
  <si>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</si>
  <si>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</si>
  <si>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</si>
  <si>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</si>
  <si>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</si>
  <si>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</si>
  <si>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</si>
  <si>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</si>
  <si>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</si>
  <si>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</si>
  <si>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</si>
  <si>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</si>
  <si>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</si>
  <si>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</si>
  <si>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</si>
  <si>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</si>
  <si>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</si>
  <si>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</si>
  <si>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</si>
  <si>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</si>
  <si>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</si>
  <si>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</si>
  <si>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</si>
  <si>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</si>
  <si>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</si>
  <si>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</si>
  <si>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</si>
  <si>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</si>
  <si>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</si>
  <si>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</si>
  <si>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</si>
  <si>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</si>
  <si>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</si>
  <si>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</si>
  <si>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</si>
  <si>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</si>
  <si>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</si>
  <si>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</si>
  <si>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</si>
  <si>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</si>
  <si>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</si>
  <si>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</si>
  <si>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</si>
  <si>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</si>
  <si>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</si>
  <si>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</si>
  <si>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</si>
  <si>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</si>
  <si>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</si>
  <si>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</si>
  <si>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</si>
  <si>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</si>
  <si>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</si>
  <si>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</si>
  <si>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</si>
  <si>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</si>
  <si>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</si>
  <si>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</si>
  <si>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</si>
  <si>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</si>
  <si>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</si>
  <si>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</si>
  <si>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</si>
  <si>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</si>
  <si>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</si>
  <si>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</si>
  <si>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</si>
  <si>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</si>
  <si>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</si>
  <si>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</si>
  <si>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</si>
  <si>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</si>
  <si>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</si>
  <si>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</si>
  <si>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</si>
  <si>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</si>
  <si>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</si>
  <si>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</si>
  <si>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</si>
  <si>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</si>
  <si>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</si>
  <si>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</si>
  <si>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</si>
  <si>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</si>
  <si>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</si>
  <si>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</si>
  <si>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</si>
  <si>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</si>
  <si>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</si>
  <si>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</si>
  <si>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</si>
  <si>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</si>
  <si>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</si>
  <si>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</si>
  <si>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</si>
  <si>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</si>
  <si>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</si>
  <si>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</si>
  <si>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</si>
  <si>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</si>
  <si>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</si>
  <si>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</si>
  <si>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</si>
  <si>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</si>
  <si>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</si>
  <si>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</si>
  <si>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</si>
  <si>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</si>
  <si>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</si>
  <si>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</si>
  <si>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</si>
  <si>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</si>
  <si>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</si>
  <si>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</si>
  <si>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</si>
  <si>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</si>
  <si>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</si>
  <si>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</si>
  <si>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</si>
  <si>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</si>
  <si>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</si>
  <si>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</si>
  <si>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</si>
  <si>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</si>
  <si>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</si>
  <si>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</si>
  <si>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</si>
  <si>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</si>
  <si>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</si>
  <si>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</si>
  <si>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</si>
  <si>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</si>
  <si>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</si>
  <si>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</si>
  <si>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</si>
  <si>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</si>
  <si>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</si>
  <si>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</si>
  <si>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</si>
  <si>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</si>
  <si>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</si>
  <si>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</si>
  <si>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</si>
  <si>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</si>
  <si>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</si>
  <si>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</si>
  <si>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</si>
  <si>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</si>
  <si>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</si>
  <si>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</si>
  <si>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</si>
  <si>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</si>
  <si>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</si>
  <si>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</si>
  <si>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</si>
  <si>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</si>
  <si>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</si>
  <si>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</si>
  <si>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</si>
  <si>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</si>
  <si>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</si>
  <si>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</si>
  <si>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</si>
  <si>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</si>
  <si>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</si>
  <si>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</si>
  <si>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</si>
  <si>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</si>
  <si>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</si>
  <si>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</si>
  <si>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</si>
  <si>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</si>
  <si>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</si>
  <si>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</si>
  <si>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</si>
  <si>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</si>
  <si>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</si>
  <si>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</si>
  <si>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</si>
  <si>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</si>
  <si>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</si>
  <si>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</si>
  <si>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</si>
  <si>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</si>
  <si>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</si>
  <si>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</si>
  <si>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</si>
  <si>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</si>
  <si>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</si>
  <si>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</si>
  <si>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</si>
  <si>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</si>
  <si>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</si>
  <si>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</si>
  <si>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</si>
  <si>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</si>
  <si>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</si>
  <si>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</si>
  <si>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</si>
  <si>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</si>
  <si>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</si>
  <si>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</si>
  <si>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</si>
  <si>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</si>
  <si>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</si>
  <si>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</si>
  <si>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</si>
  <si>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</si>
  <si>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</si>
  <si>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</si>
  <si>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</si>
  <si>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</si>
  <si>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</si>
  <si>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</si>
  <si>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</si>
  <si>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</si>
  <si>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</si>
  <si>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</si>
  <si>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</si>
  <si>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</si>
  <si>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</si>
  <si>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</si>
  <si>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</si>
  <si>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</si>
  <si>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</si>
  <si>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</si>
  <si>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</si>
  <si>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</si>
  <si>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</si>
  <si>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</si>
  <si>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</si>
  <si>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</si>
  <si>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</si>
  <si>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</si>
  <si>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</si>
  <si>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</si>
  <si>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</si>
  <si>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</si>
  <si>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</si>
  <si>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</si>
  <si>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</si>
  <si>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</si>
  <si>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</si>
  <si>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</si>
  <si>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</si>
  <si>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</si>
  <si>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</si>
  <si>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</si>
  <si>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</si>
  <si>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</si>
  <si>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</si>
  <si>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</si>
  <si>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</si>
  <si>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</si>
  <si>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</si>
  <si>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</si>
  <si>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</si>
  <si>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</si>
  <si>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</si>
  <si>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</si>
  <si>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</si>
  <si>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</si>
  <si>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</si>
  <si>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</si>
  <si>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</si>
  <si>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</si>
  <si>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</si>
  <si>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</si>
  <si>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</si>
  <si>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</si>
  <si>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</si>
  <si>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</si>
  <si>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</si>
  <si>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</si>
  <si>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</si>
  <si>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</si>
  <si>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</si>
  <si>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</si>
  <si>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</si>
  <si>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</si>
  <si>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</si>
  <si>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</si>
  <si>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</si>
  <si>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</si>
  <si>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</si>
  <si>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</si>
  <si>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</si>
  <si>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</si>
  <si>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</si>
  <si>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</si>
  <si>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</si>
  <si>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</si>
  <si>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</si>
  <si>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</si>
  <si>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</si>
  <si>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</si>
  <si>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</si>
  <si>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</si>
  <si>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</si>
  <si>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</si>
  <si>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</si>
  <si>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</si>
  <si>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</si>
  <si>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</si>
  <si>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</si>
  <si>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</si>
  <si>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</si>
  <si>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</si>
  <si>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</si>
  <si>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</si>
  <si>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</si>
  <si>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</si>
  <si>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</si>
  <si>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</si>
  <si>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</si>
  <si>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</si>
  <si>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</si>
  <si>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</si>
  <si>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</si>
  <si>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</si>
  <si>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</si>
  <si>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</si>
  <si>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</si>
  <si>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</si>
  <si>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</si>
  <si>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</si>
  <si>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</si>
  <si>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</si>
  <si>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</si>
  <si>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</si>
  <si>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</si>
  <si>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</si>
  <si>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</si>
  <si>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</si>
  <si>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</si>
  <si>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</si>
  <si>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</si>
  <si>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</si>
  <si>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</si>
  <si>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</si>
  <si>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</si>
  <si>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</si>
  <si>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</si>
  <si>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</si>
  <si>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</si>
  <si>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</si>
  <si>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</si>
  <si>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</si>
  <si>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</si>
  <si>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</si>
  <si>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</si>
  <si>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</si>
  <si>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</si>
  <si>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</si>
  <si>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</si>
  <si>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</si>
  <si>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</si>
  <si>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</si>
  <si>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</si>
  <si>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</si>
  <si>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</si>
  <si>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</si>
  <si>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</si>
  <si>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</si>
  <si>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</si>
  <si>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</si>
  <si>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</si>
  <si>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</si>
  <si>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</si>
  <si>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</si>
  <si>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</si>
  <si>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</si>
  <si>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</si>
  <si>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</si>
  <si>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</si>
  <si>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</si>
  <si>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</si>
  <si>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</si>
  <si>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</si>
  <si>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</si>
  <si>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</si>
  <si>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</si>
  <si>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</si>
  <si>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</si>
  <si>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</si>
  <si>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</si>
  <si>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</si>
  <si>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</si>
  <si>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</si>
  <si>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</si>
  <si>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</si>
  <si>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</si>
  <si>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</si>
  <si>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</si>
  <si>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</si>
  <si>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</si>
  <si>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</si>
  <si>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</si>
  <si>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</si>
  <si>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</si>
  <si>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</si>
  <si>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</si>
  <si>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</si>
  <si>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</si>
  <si>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</si>
  <si>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</si>
  <si>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</si>
  <si>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</si>
  <si>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</si>
  <si>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</si>
  <si>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</si>
  <si>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</si>
  <si>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</si>
  <si>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</si>
  <si>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</si>
  <si>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</si>
  <si>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</si>
  <si>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</si>
  <si>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</si>
  <si>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</si>
  <si>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</si>
  <si>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</si>
  <si>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</si>
  <si>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</si>
  <si>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</si>
  <si>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</si>
  <si>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</si>
  <si>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</si>
  <si>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</si>
  <si>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</si>
  <si>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</si>
  <si>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</si>
  <si>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</si>
  <si>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</si>
  <si>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</si>
  <si>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</si>
  <si>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</si>
  <si>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</si>
  <si>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</si>
  <si>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</si>
  <si>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</si>
  <si>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</si>
  <si>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</si>
  <si>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</si>
  <si>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</si>
  <si>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</si>
  <si>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</si>
  <si>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</si>
  <si>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</si>
  <si>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</si>
  <si>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</si>
  <si>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</si>
  <si>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</si>
  <si>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</si>
  <si>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</si>
  <si>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</si>
  <si>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</si>
  <si>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</si>
  <si>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</si>
  <si>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</si>
  <si>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</si>
  <si>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</si>
  <si>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</si>
  <si>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</si>
  <si>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</si>
  <si>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</si>
  <si>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</si>
  <si>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</si>
  <si>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</si>
  <si>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</si>
  <si>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</si>
  <si>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</si>
  <si>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</si>
  <si>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</si>
  <si>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</si>
  <si>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</si>
  <si>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</si>
  <si>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</si>
  <si>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</si>
  <si>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</si>
  <si>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</si>
  <si>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</si>
  <si>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</si>
  <si>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</si>
  <si>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</si>
  <si>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</si>
  <si>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</si>
  <si>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</si>
  <si>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</si>
  <si>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</si>
  <si>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</si>
  <si>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</si>
  <si>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</si>
  <si>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</si>
  <si>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</si>
  <si>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</si>
  <si>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</si>
  <si>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</si>
  <si>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</si>
  <si>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</si>
  <si>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</si>
  <si>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</si>
  <si>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</si>
  <si>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</si>
  <si>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</si>
  <si>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</si>
  <si>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</si>
  <si>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</si>
  <si>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</si>
  <si>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</si>
  <si>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</si>
  <si>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</si>
  <si>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</si>
  <si>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</si>
  <si>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</si>
  <si>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</si>
  <si>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</si>
  <si>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</si>
  <si>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</si>
  <si>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</si>
  <si>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</si>
  <si>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</si>
  <si>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</si>
  <si>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</si>
  <si>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</si>
  <si>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</si>
  <si>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</si>
  <si>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</si>
  <si>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</si>
  <si>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</si>
  <si>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</si>
  <si>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</si>
  <si>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</si>
  <si>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</si>
  <si>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</si>
  <si>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</si>
  <si>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</si>
  <si>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</si>
  <si>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</si>
  <si>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</si>
  <si>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</si>
  <si>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</si>
  <si>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</si>
  <si>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</si>
  <si>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</si>
  <si>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</si>
  <si>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</si>
  <si>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</si>
  <si>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</si>
  <si>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</si>
  <si>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</si>
  <si>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</si>
  <si>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</si>
  <si>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</si>
  <si>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</si>
  <si>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</si>
  <si>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</si>
  <si>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</si>
  <si>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</si>
  <si>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</si>
  <si>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</si>
  <si>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</si>
  <si>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</si>
  <si>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</si>
  <si>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</si>
  <si>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</si>
  <si>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</si>
  <si>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</si>
  <si>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</si>
  <si>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</si>
  <si>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</si>
  <si>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</si>
  <si>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</si>
  <si>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</si>
  <si>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</si>
  <si>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</si>
  <si>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</si>
  <si>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</si>
  <si>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</si>
  <si>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</si>
  <si>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</si>
  <si>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</si>
  <si>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</si>
  <si>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</si>
  <si>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</si>
  <si>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</si>
  <si>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</si>
  <si>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</si>
  <si>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</si>
  <si>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</si>
  <si>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</si>
  <si>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</si>
  <si>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</si>
  <si>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</si>
  <si>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</si>
  <si>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</si>
  <si>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</si>
  <si>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</si>
  <si>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</si>
  <si>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</si>
  <si>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</si>
  <si>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</si>
  <si>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</si>
  <si>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</si>
  <si>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</si>
  <si>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</si>
  <si>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</si>
  <si>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</si>
  <si>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</si>
  <si>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</si>
  <si>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</si>
  <si>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</si>
  <si>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</si>
  <si>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</si>
  <si>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</si>
  <si>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</si>
  <si>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</si>
  <si>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</si>
  <si>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</si>
  <si>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</si>
  <si>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</si>
  <si>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</si>
  <si>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</si>
  <si>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</si>
  <si>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</si>
  <si>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</si>
  <si>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</si>
  <si>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</si>
  <si>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</si>
  <si>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</si>
  <si>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</si>
  <si>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</si>
  <si>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</si>
  <si>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</si>
  <si>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</si>
  <si>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</si>
  <si>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</si>
  <si>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</si>
  <si>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</si>
  <si>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</si>
  <si>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</si>
  <si>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</si>
  <si>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</si>
  <si>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</si>
  <si>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</si>
  <si>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</si>
  <si>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</si>
  <si>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</si>
  <si>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</si>
  <si>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</si>
  <si>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</si>
  <si>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</si>
  <si>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</si>
  <si>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</si>
  <si>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</si>
  <si>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</si>
  <si>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</si>
  <si>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</si>
  <si>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</si>
  <si>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</si>
  <si>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</si>
  <si>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</si>
  <si>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</si>
  <si>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</si>
  <si>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</si>
  <si>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</si>
  <si>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</si>
  <si>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</si>
  <si>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</si>
  <si>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</si>
  <si>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</si>
  <si>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</si>
  <si>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</si>
  <si>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</si>
  <si>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</si>
  <si>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</si>
  <si>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</si>
  <si>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</si>
  <si>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</si>
  <si>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</si>
  <si>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</si>
  <si>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</si>
  <si>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</si>
  <si>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</si>
  <si>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</si>
  <si>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</si>
  <si>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</si>
  <si>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</si>
  <si>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</si>
  <si>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</si>
  <si>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</si>
  <si>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</si>
  <si>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</si>
  <si>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</si>
  <si>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</si>
  <si>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</si>
  <si>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</si>
  <si>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</si>
  <si>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</si>
  <si>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</si>
  <si>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</si>
  <si>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</si>
  <si>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</si>
  <si>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</si>
  <si>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</si>
  <si>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</si>
  <si>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</si>
  <si>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</si>
  <si>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</si>
  <si>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</si>
  <si>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</si>
  <si>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</si>
  <si>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</si>
  <si>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</si>
  <si>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</si>
  <si>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</si>
  <si>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</si>
  <si>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</si>
  <si>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</si>
  <si>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</si>
  <si>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</si>
  <si>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</si>
  <si>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</si>
  <si>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</si>
  <si>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</si>
  <si>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</si>
  <si>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</si>
  <si>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</si>
  <si>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</si>
  <si>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</si>
  <si>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</si>
  <si>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</si>
  <si>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</si>
  <si>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</si>
  <si>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</si>
  <si>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</si>
  <si>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</si>
  <si>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</si>
  <si>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</si>
  <si>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</si>
  <si>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</si>
  <si>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</si>
  <si>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</si>
  <si>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</si>
  <si>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</si>
  <si>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</si>
  <si>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</si>
  <si>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</si>
  <si>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</si>
  <si>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</si>
  <si>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</si>
  <si>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</si>
  <si>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</si>
  <si>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</si>
  <si>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</si>
  <si>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</si>
  <si>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</si>
  <si>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</si>
  <si>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</si>
  <si>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</si>
  <si>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</si>
  <si>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</si>
  <si>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</si>
  <si>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</si>
  <si>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</si>
  <si>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</si>
  <si>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</si>
  <si>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</si>
  <si>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</si>
  <si>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</si>
  <si>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</si>
  <si>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</si>
  <si>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</si>
  <si>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</si>
  <si>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</si>
  <si>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</si>
  <si>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</si>
  <si>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</si>
  <si>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</si>
  <si>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</si>
  <si>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</si>
  <si>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</si>
  <si>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</si>
  <si>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</si>
  <si>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</si>
  <si>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</si>
  <si>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</si>
  <si>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</si>
  <si>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</si>
  <si>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</si>
  <si>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</si>
  <si>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</si>
  <si>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</si>
  <si>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</si>
  <si>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</si>
  <si>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</si>
  <si>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</si>
  <si>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</si>
  <si>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</si>
  <si>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</si>
  <si>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</si>
  <si>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</si>
  <si>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</si>
  <si>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</si>
  <si>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抵押价格</t>
  </si>
  <si>
    <t>其他：</t>
  </si>
  <si>
    <t>企业</t>
  </si>
  <si>
    <t>一致</t>
  </si>
  <si>
    <t>符合</t>
  </si>
  <si>
    <t>是</t>
    <phoneticPr fontId="3" type="noConversion"/>
  </si>
  <si>
    <t>地上</t>
  </si>
  <si>
    <t>住宅</t>
    <phoneticPr fontId="7" type="noConversion"/>
  </si>
  <si>
    <t>住宅</t>
    <phoneticPr fontId="3" type="noConversion"/>
  </si>
  <si>
    <t>蓝城春风燕语</t>
    <phoneticPr fontId="228" type="noConversion"/>
  </si>
  <si>
    <t>叠拼</t>
    <phoneticPr fontId="228" type="noConversion"/>
  </si>
  <si>
    <t>地上面积148，地下面积68</t>
    <phoneticPr fontId="228" type="noConversion"/>
  </si>
  <si>
    <t>550万</t>
    <phoneticPr fontId="228" type="noConversion"/>
  </si>
  <si>
    <t>小</t>
    <phoneticPr fontId="228" type="noConversion"/>
  </si>
  <si>
    <t>绿地绿地柏澜晶舍</t>
    <phoneticPr fontId="228" type="noConversion"/>
  </si>
  <si>
    <t>叠拼</t>
    <phoneticPr fontId="228" type="noConversion"/>
  </si>
  <si>
    <r>
      <t>地上1</t>
    </r>
    <r>
      <rPr>
        <sz val="11"/>
        <color theme="1"/>
        <rFont val="宋体"/>
        <family val="3"/>
        <charset val="134"/>
        <scheme val="minor"/>
      </rPr>
      <t>28，地下74</t>
    </r>
    <phoneticPr fontId="228" type="noConversion"/>
  </si>
  <si>
    <t>中</t>
    <phoneticPr fontId="228" type="noConversion"/>
  </si>
  <si>
    <t>滨江湖光山社</t>
    <phoneticPr fontId="228" type="noConversion"/>
  </si>
  <si>
    <t>联排</t>
    <phoneticPr fontId="228" type="noConversion"/>
  </si>
  <si>
    <t>大</t>
    <phoneticPr fontId="228" type="noConversion"/>
  </si>
  <si>
    <t>越秀星悦城</t>
    <phoneticPr fontId="228" type="noConversion"/>
  </si>
  <si>
    <t>404万</t>
    <phoneticPr fontId="228" type="noConversion"/>
  </si>
  <si>
    <t>正常</t>
    <phoneticPr fontId="26" type="noConversion"/>
  </si>
  <si>
    <t>较好</t>
    <phoneticPr fontId="26" type="noConversion"/>
  </si>
  <si>
    <t>较好</t>
    <phoneticPr fontId="26" type="noConversion"/>
  </si>
  <si>
    <t>较差</t>
    <phoneticPr fontId="26" type="noConversion"/>
  </si>
  <si>
    <t>一般</t>
    <phoneticPr fontId="26" type="noConversion"/>
  </si>
  <si>
    <t>较差</t>
    <phoneticPr fontId="26" type="noConversion"/>
  </si>
  <si>
    <t>六通</t>
    <phoneticPr fontId="26" type="noConversion"/>
  </si>
  <si>
    <t>一般</t>
    <phoneticPr fontId="26" type="noConversion"/>
  </si>
  <si>
    <t>正常</t>
    <phoneticPr fontId="21" type="noConversion"/>
  </si>
  <si>
    <t>正常</t>
    <phoneticPr fontId="21" type="noConversion"/>
  </si>
  <si>
    <t>较好</t>
    <phoneticPr fontId="21" type="noConversion"/>
  </si>
  <si>
    <t>较差</t>
    <phoneticPr fontId="21" type="noConversion"/>
  </si>
  <si>
    <t>一般</t>
    <phoneticPr fontId="21" type="noConversion"/>
  </si>
  <si>
    <t>一般</t>
    <phoneticPr fontId="21" type="noConversion"/>
  </si>
  <si>
    <t>六通</t>
    <phoneticPr fontId="21" type="noConversion"/>
  </si>
  <si>
    <t>联排</t>
    <phoneticPr fontId="21" type="noConversion"/>
  </si>
  <si>
    <t>叠拼</t>
    <phoneticPr fontId="21" type="noConversion"/>
  </si>
  <si>
    <t>规模</t>
    <phoneticPr fontId="21" type="noConversion"/>
  </si>
  <si>
    <t>小</t>
    <phoneticPr fontId="21" type="noConversion"/>
  </si>
  <si>
    <t>中</t>
    <phoneticPr fontId="21" type="noConversion"/>
  </si>
  <si>
    <t>大</t>
    <phoneticPr fontId="21" type="noConversion"/>
  </si>
  <si>
    <t>大</t>
    <phoneticPr fontId="21" type="noConversion"/>
  </si>
  <si>
    <t>售价</t>
  </si>
  <si>
    <t>联排</t>
    <phoneticPr fontId="2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</si>
  <si>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</si>
  <si>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</si>
  <si>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</si>
  <si>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</si>
  <si>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</si>
  <si>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</si>
  <si>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</si>
  <si>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</si>
  <si>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</si>
  <si>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</si>
  <si>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</si>
  <si>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</si>
  <si>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</si>
  <si>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</si>
  <si>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</si>
  <si>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天目医药港(锦南新城区块)ZX11-G-14地块</t>
  </si>
  <si>
    <t>杭州市</t>
  </si>
  <si>
    <t>综合用地(含住宅)</t>
  </si>
  <si>
    <t>≥1.5且≤2.4</t>
  </si>
  <si>
    <t>挂牌</t>
  </si>
  <si>
    <t>商住用地(城镇住宅用地、商务金融用地、旅馆用地)</t>
  </si>
  <si>
    <t>2020-10-13</t>
  </si>
  <si>
    <t>上海流眄企业管理有限公司</t>
  </si>
  <si>
    <t>4星</t>
  </si>
  <si>
    <t>城东滨湖新区单元H-R21-04地块</t>
  </si>
  <si>
    <t>住宅用地</t>
  </si>
  <si>
    <t>＞1.0且≤1.9</t>
  </si>
  <si>
    <t>城镇住宅用地</t>
  </si>
  <si>
    <t>2020-08-28</t>
  </si>
  <si>
    <t>宁波市梅山美的房地产发展有限公司</t>
  </si>
  <si>
    <t>中心城区单元01-ZX-02-47、01-ZX-02-48地块</t>
  </si>
  <si>
    <t>＞1.0且≤2.8</t>
  </si>
  <si>
    <t>2020-07-10</t>
  </si>
  <si>
    <t>杭州铧钰置业有限公司</t>
  </si>
  <si>
    <t>中心城区单元01-ZX-02-17地块</t>
  </si>
  <si>
    <t>≥1.0且≤2.7</t>
  </si>
  <si>
    <t>广州市敏捷房地产开发有限公司</t>
  </si>
  <si>
    <t>中心城区单元01-ZX-02-37地块(A/B地块)</t>
  </si>
  <si>
    <t>＞1.0且≤2.96</t>
  </si>
  <si>
    <t>商住用地</t>
  </si>
  <si>
    <t>2020-06-28</t>
  </si>
  <si>
    <t>杭州天谕置业有限公司</t>
  </si>
  <si>
    <t>双林高校单元B-10-04地块</t>
  </si>
  <si>
    <t>＞1.0且≤1.7</t>
  </si>
  <si>
    <t>2020-06-24</t>
  </si>
  <si>
    <t>杭州燚乐实业投资有限公司</t>
  </si>
  <si>
    <t>3星</t>
  </si>
  <si>
    <t>高新技术单元07-R2-05地块</t>
  </si>
  <si>
    <t>＞1.0且≤1.2</t>
  </si>
  <si>
    <t>2020-06-22</t>
  </si>
  <si>
    <t>嘉兴禾鸿置业有限公司</t>
  </si>
  <si>
    <t>滨湖新城平峰山A地块</t>
  </si>
  <si>
    <t>＞1.0且≤1.1</t>
  </si>
  <si>
    <t>杭州临安锦利房地产开发有限公司</t>
  </si>
  <si>
    <t>1星</t>
  </si>
  <si>
    <t>临安区锦北单元A-R21-15、A-R22-04地块</t>
  </si>
  <si>
    <t>城镇住宅、配套公建用地</t>
  </si>
  <si>
    <t>2020-06-09</t>
  </si>
  <si>
    <t>中天美好集团有限公司</t>
  </si>
  <si>
    <t>滨湖新城重点区块LA0607-15地块</t>
  </si>
  <si>
    <t>杭州绿昕置业发展有限公司</t>
  </si>
  <si>
    <t>2星</t>
  </si>
  <si>
    <t>锦北单元D-R2-10地块</t>
  </si>
  <si>
    <t>2020-05-29</t>
  </si>
  <si>
    <t>杭州嘉珺房地产开发有限公司</t>
  </si>
  <si>
    <t>天目医药港(锦南新城区块)ZX11-D-21A地块</t>
  </si>
  <si>
    <t>城镇住宅用地(人才专项租赁住房)</t>
  </si>
  <si>
    <t>2020-05-15</t>
  </si>
  <si>
    <t>杭州市临安区国瑞置业有限公司</t>
  </si>
  <si>
    <t>临安区锦北单位C-R2-13、C-R22-02、C-R22-03地块</t>
  </si>
  <si>
    <t>＞1.0且≤2.2</t>
  </si>
  <si>
    <t>2020-04-24</t>
  </si>
  <si>
    <t>杭州铭源房地产开发有限公司</t>
  </si>
  <si>
    <t>临安经济开发区中部地区A1-08地块</t>
  </si>
  <si>
    <t>2020-04-16</t>
  </si>
  <si>
    <t>杭州临安中天房地产开发有限公司</t>
  </si>
  <si>
    <t>临安区於潜镇镇区07-02-01、07-02-02地块</t>
  </si>
  <si>
    <t>≥1.06且≤2.06</t>
  </si>
  <si>
    <t>城镇住宅用地、旅馆用地</t>
  </si>
  <si>
    <t>杭州融望房地产开发有限公司</t>
  </si>
  <si>
    <t>临安区玲珑单元C-R21-10、C-R22-03地块</t>
  </si>
  <si>
    <t>1.0＞且≤1.8</t>
  </si>
  <si>
    <t>2020-03-16</t>
  </si>
  <si>
    <t>杭州恒伟商业经营管理有限公司</t>
  </si>
  <si>
    <t>经济开发区中部地区B1-19-01地块</t>
  </si>
  <si>
    <t>1.0-2.5</t>
  </si>
  <si>
    <t>2020-01-14</t>
  </si>
  <si>
    <t>杭州昌齐商务信息咨询有限公司</t>
  </si>
  <si>
    <t>临安经济开发区中部地区B4-06-03地块一</t>
  </si>
  <si>
    <t>1.0-2.2</t>
  </si>
  <si>
    <t>2019-11-18</t>
  </si>
  <si>
    <t>保亿钜轩(杭州)建设开发有限公司</t>
  </si>
  <si>
    <t>临安区於潜镇镇区05-22地块</t>
  </si>
  <si>
    <t>1.0-2.0</t>
  </si>
  <si>
    <t>2019-10-30</t>
  </si>
  <si>
    <t>陈裕福</t>
  </si>
  <si>
    <t>临安经济开发区中部地区B5-04-01地块</t>
  </si>
  <si>
    <t>人才租赁住房</t>
  </si>
  <si>
    <t>2019-10-22</t>
  </si>
  <si>
    <t>浙江青山湖科研创新基地投资有限公司</t>
  </si>
  <si>
    <t>临安区滨湖新城重点地段LA0612-09-01、LA0612-09-02地块</t>
  </si>
  <si>
    <t>1.0-1.1</t>
  </si>
  <si>
    <t>城镇住宅兼容零售商业用地</t>
  </si>
  <si>
    <t>杭州临安城镇房地产开发有限公司</t>
  </si>
  <si>
    <t>临安区天目医药港单元ZX11-A-29A-2地块</t>
  </si>
  <si>
    <t>＞1.0≤1.8</t>
  </si>
  <si>
    <t>2019-06-24</t>
  </si>
  <si>
    <t>杭州铭伦实业有限公司</t>
  </si>
  <si>
    <t>临安区天目医药港(锦南新城区块)ZX11-C-05地块</t>
  </si>
  <si>
    <t>＞1.0≤2.2</t>
  </si>
  <si>
    <t>杭州越东房地产开发有限公司</t>
  </si>
  <si>
    <t>临安区天目医药港(锦南新城区块)ZX11-D-01地块</t>
  </si>
  <si>
    <t>≥1.3≤2.59</t>
  </si>
  <si>
    <t>苏州美生美置业有限公司</t>
  </si>
  <si>
    <t>临安区双林高校单元C-02-01、C-02-02、C-02-04地块</t>
  </si>
  <si>
    <t>c-02-01:＞1.0≤1.3*c-02-04:≤0.7*c-02-02:≤1.5</t>
  </si>
  <si>
    <t>2019-06-19</t>
  </si>
  <si>
    <t>临安区锦北单元A-R21-11地块</t>
  </si>
  <si>
    <t>＞1.0≤2.0</t>
  </si>
  <si>
    <t>杭州开湖房地产开发有限公司</t>
  </si>
  <si>
    <t>临安区昌化镇XJ01-01-04地块</t>
  </si>
  <si>
    <t>＞1.0≤1.6</t>
  </si>
  <si>
    <t>临安区昌化镇XJ01-02地块</t>
  </si>
  <si>
    <t>＞1.0≤2.22</t>
  </si>
  <si>
    <t>北京世通盛祥投资管理有限公司</t>
  </si>
  <si>
    <t>临安区天目医药港(锦南新城区块)ZX11-G-07A地块</t>
  </si>
  <si>
    <t>≥1.3≤2.5</t>
  </si>
  <si>
    <t>2019-06-14</t>
  </si>
  <si>
    <t>杭州地上房地产集团有限公司</t>
  </si>
  <si>
    <t>临安区高新技术单元04-R2-01-01、04-R2-01-02地块</t>
  </si>
  <si>
    <t>＞1.0≤1.2</t>
  </si>
  <si>
    <t>杭州钰秀房地产开发有限公司</t>
  </si>
  <si>
    <t>比较法-住宅、综合</t>
  </si>
  <si>
    <t>剩余法-待开发</t>
  </si>
  <si>
    <t>情况3</t>
  </si>
  <si>
    <t>正常</t>
  </si>
  <si>
    <t>自行开发建设</t>
  </si>
  <si>
    <t>非个人房产</t>
  </si>
  <si>
    <t>出让金+开发费</t>
  </si>
  <si>
    <t>利息：取LPR加浮动点数</t>
  </si>
  <si>
    <t>杭州</t>
    <phoneticPr fontId="228" type="noConversion"/>
  </si>
  <si>
    <t>评估值</t>
    <phoneticPr fontId="228" type="noConversion"/>
  </si>
  <si>
    <t>评估净值</t>
    <phoneticPr fontId="228" type="noConversion"/>
  </si>
  <si>
    <t>3631地块</t>
    <phoneticPr fontId="228" type="noConversion"/>
  </si>
  <si>
    <t>3642地块</t>
    <phoneticPr fontId="228" type="noConversion"/>
  </si>
  <si>
    <t>估价对象1（本表）-3631</t>
    <phoneticPr fontId="228" type="noConversion"/>
  </si>
  <si>
    <t>估价对象2-3642</t>
    <phoneticPr fontId="228" type="noConversion"/>
  </si>
  <si>
    <t>住宅</t>
    <phoneticPr fontId="26" type="noConversion"/>
  </si>
  <si>
    <t>住宅</t>
    <phoneticPr fontId="26" type="noConversion"/>
  </si>
  <si>
    <t>70</t>
    <phoneticPr fontId="26" type="noConversion"/>
  </si>
  <si>
    <t>较好</t>
    <phoneticPr fontId="3" type="noConversion"/>
  </si>
  <si>
    <t>较差</t>
    <phoneticPr fontId="3" type="noConversion"/>
  </si>
  <si>
    <t>六通</t>
    <phoneticPr fontId="3" type="noConversion"/>
  </si>
  <si>
    <t>一般</t>
    <phoneticPr fontId="3" type="noConversion"/>
  </si>
  <si>
    <t>较好</t>
    <phoneticPr fontId="21"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</si>
  <si>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</si>
  <si>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</si>
  <si>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</si>
  <si>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</si>
  <si>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</si>
  <si>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</si>
  <si>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楼面地价</t>
  </si>
  <si>
    <t>60-70（含）</t>
  </si>
  <si>
    <t>住宅</t>
    <phoneticPr fontId="21" type="noConversion"/>
  </si>
  <si>
    <t>较好</t>
    <phoneticPr fontId="21" type="noConversion"/>
  </si>
  <si>
    <t>一般</t>
    <phoneticPr fontId="21" type="noConversion"/>
  </si>
  <si>
    <t>六通</t>
    <phoneticPr fontId="21" type="noConversion"/>
  </si>
  <si>
    <t>一般</t>
    <phoneticPr fontId="21" type="noConversion"/>
  </si>
  <si>
    <t>钢混</t>
    <phoneticPr fontId="21" type="noConversion"/>
  </si>
  <si>
    <t>钢混</t>
    <phoneticPr fontId="21" type="noConversion"/>
  </si>
  <si>
    <t>精装</t>
    <phoneticPr fontId="21" type="noConversion"/>
  </si>
  <si>
    <t>专业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</si>
</sst>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3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178" fontId="81" fillId="2" borderId="5"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2" borderId="87"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49" fontId="260" fillId="0" borderId="1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38100</xdr:rowOff>
    </xdr:from>
    <xdr:to>
      <xdr:col>8</xdr:col>
      <xdr:colOff>684558</xdr:colOff>
      <xdr:row>78</xdr:row>
      <xdr:rowOff>84712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53050"/>
          <a:ext cx="9942858" cy="8104762"/>
        </a:xfrm>
        <a:prstGeom prst="rect">
          <a:avLst/>
        </a:prstGeom>
      </xdr:spPr>
    </xdr:pic>
    <xdr:clientData/>
  </xdr:twoCellAnchor>
  <xdr:twoCellAnchor editAs="oneCell">
    <xdr:from>
      <xdr:col>0</xdr:col>
      <xdr:colOff>0</xdr:colOff>
      <xdr:row>78</xdr:row>
      <xdr:rowOff>0</xdr:rowOff>
    </xdr:from>
    <xdr:to>
      <xdr:col>7</xdr:col>
      <xdr:colOff>141786</xdr:colOff>
      <xdr:row>118</xdr:row>
      <xdr:rowOff>37239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373100"/>
          <a:ext cx="8714286" cy="6895239"/>
        </a:xfrm>
        <a:prstGeom prst="rect">
          <a:avLst/>
        </a:prstGeom>
      </xdr:spPr>
    </xdr:pic>
    <xdr:clientData/>
  </xdr:twoCellAnchor>
  <xdr:twoCellAnchor editAs="oneCell">
    <xdr:from>
      <xdr:col>0</xdr:col>
      <xdr:colOff>0</xdr:colOff>
      <xdr:row>118</xdr:row>
      <xdr:rowOff>0</xdr:rowOff>
    </xdr:from>
    <xdr:to>
      <xdr:col>9</xdr:col>
      <xdr:colOff>236853</xdr:colOff>
      <xdr:row>163</xdr:row>
      <xdr:rowOff>27608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231100"/>
          <a:ext cx="10180953" cy="7742858"/>
        </a:xfrm>
        <a:prstGeom prst="rect">
          <a:avLst/>
        </a:prstGeom>
      </xdr:spPr>
    </xdr:pic>
    <xdr:clientData/>
  </xdr:twoCellAnchor>
  <xdr:twoCellAnchor editAs="oneCell">
    <xdr:from>
      <xdr:col>9</xdr:col>
      <xdr:colOff>561975</xdr:colOff>
      <xdr:row>31</xdr:row>
      <xdr:rowOff>123825</xdr:rowOff>
    </xdr:from>
    <xdr:to>
      <xdr:col>20</xdr:col>
      <xdr:colOff>94366</xdr:colOff>
      <xdr:row>59</xdr:row>
      <xdr:rowOff>104178</xdr:rowOff>
    </xdr:to>
    <xdr:pic>
      <xdr:nvPicPr>
        <xdr:cNvPr id="5" name="图片 4"/>
        <xdr:cNvPicPr>
          <a:picLocks noChangeAspect="1"/>
        </xdr:cNvPicPr>
      </xdr:nvPicPr>
      <xdr:blipFill>
        <a:blip xmlns:r="http://schemas.openxmlformats.org/officeDocument/2006/relationships" r:embed="rId4"/>
        <a:stretch>
          <a:fillRect/>
        </a:stretch>
      </xdr:blipFill>
      <xdr:spPr>
        <a:xfrm>
          <a:off x="8620125" y="5438775"/>
          <a:ext cx="7076191" cy="4780953"/>
        </a:xfrm>
        <a:prstGeom prst="rect">
          <a:avLst/>
        </a:prstGeom>
        <a:solidFill>
          <a:srgbClr val="FFFF00"/>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6477;&#24030;&#22797;&#35780;036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16402</v>
          </cell>
          <cell r="C14">
            <v>16402</v>
          </cell>
          <cell r="D14">
            <v>23281</v>
          </cell>
          <cell r="G14">
            <v>23281</v>
          </cell>
          <cell r="I14">
            <v>12540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受贵公司委托，我公司对出让国有建设用地使用权抵押价格进行了预评估。</v>
      </c>
      <c r="AM6" s="2619"/>
    </row>
    <row r="7" spans="1:55" s="2593" customFormat="1">
      <c r="A7" s="2594" t="s">
        <v>2637</v>
      </c>
      <c r="B7" s="2595" t="str">
        <f>'预评函-1'!A6</f>
        <v>估价对象为使用的、位于出让国有建设用地使用权。根据《国有土地使用证》[]，估价对象（分摊）出让国有建设用地使用权面积为23553.4平方米。根据《建设工程规划许可证》[]、《出让合同》[]，估价对象规划建筑面积为23553.4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2021年4月29日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根据《国有土地使用证》[]，估价对象（分摊）出让国有建设用地使用权面积为23553.4平方米。根据《建设工程规划许可证》[]、《出让合同》[]，估价对象规划建筑面积为23553.4平方米。</v>
      </c>
    </row>
    <row r="16" spans="1:55" s="2593" customFormat="1">
      <c r="A16" s="2594" t="s">
        <v>2649</v>
      </c>
      <c r="B16" s="2595" t="str">
        <f>'预评函-1'!A22</f>
        <v>本次估价对象为出让国有建设用地使用权，《国有土地使用证》[]证载土地终止日期为住宅2078年1月27日。截至估价期日，出让国有建设用地使用权剩余土地使用年限为。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4月29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估价期日：2021年4月29日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23553.4</v>
      </c>
    </row>
    <row r="44" spans="1:2">
      <c r="A44" s="2594" t="s">
        <v>2720</v>
      </c>
      <c r="B44" s="2595" t="str">
        <f>'预评函-2'!O3</f>
        <v>规划建筑面积/㎡</v>
      </c>
    </row>
    <row r="45" spans="1:2">
      <c r="A45" s="2594" t="s">
        <v>2702</v>
      </c>
      <c r="B45" s="2595">
        <f>'预评函-2'!O5</f>
        <v>23553.4</v>
      </c>
    </row>
    <row r="46" spans="1:2">
      <c r="A46" s="2594" t="s">
        <v>2703</v>
      </c>
      <c r="B46" s="2595">
        <f ca="1">'预评函-2'!P5</f>
        <v>14239</v>
      </c>
    </row>
    <row r="47" spans="1:2">
      <c r="A47" s="2594" t="s">
        <v>2704</v>
      </c>
      <c r="B47" s="2595">
        <f ca="1">'预评函-2'!Q5</f>
        <v>14239</v>
      </c>
    </row>
    <row r="48" spans="1:2">
      <c r="A48" s="2594" t="s">
        <v>2705</v>
      </c>
      <c r="B48" s="2595">
        <f ca="1">'预评函-2'!R5</f>
        <v>33537</v>
      </c>
    </row>
    <row r="49" spans="1:2">
      <c r="A49" s="2594" t="s">
        <v>2721</v>
      </c>
      <c r="B49" s="2595" t="str">
        <f>'预评函-2'!A6</f>
        <v>抵押价格</v>
      </c>
    </row>
    <row r="50" spans="1:2">
      <c r="A50" s="2594" t="s">
        <v>2706</v>
      </c>
      <c r="B50" s="2595">
        <f ca="1">'预评函-2'!R6</f>
        <v>33537</v>
      </c>
    </row>
    <row r="51" spans="1:2">
      <c r="A51" s="2594" t="s">
        <v>2722</v>
      </c>
      <c r="B51" s="2595" t="str">
        <f>'预评函-2'!A7</f>
        <v>——</v>
      </c>
    </row>
    <row r="52" spans="1:2">
      <c r="A52" s="2594" t="s">
        <v>2707</v>
      </c>
      <c r="B52" s="2595" t="str">
        <f>'预评函-2'!R7</f>
        <v>——</v>
      </c>
    </row>
    <row r="53" spans="1:2">
      <c r="A53" s="2594" t="s">
        <v>2723</v>
      </c>
      <c r="B53" s="2595" t="str">
        <f>'预评函-2'!A8</f>
        <v>抵押净值</v>
      </c>
    </row>
    <row r="54" spans="1:2" s="2609" customFormat="1" ht="15" thickBot="1">
      <c r="A54" s="2616" t="s">
        <v>2708</v>
      </c>
      <c r="B54" s="2617">
        <f ca="1">'预评函-2'!R8</f>
        <v>18063</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9" sqref="E9"/>
    </sheetView>
  </sheetViews>
  <sheetFormatPr defaultColWidth="10" defaultRowHeight="14.25"/>
  <cols>
    <col min="1" max="1" width="15.375" style="1612" customWidth="1"/>
    <col min="2" max="2" width="11.375" style="1612" customWidth="1"/>
    <col min="3" max="3" width="12.625" style="1612" customWidth="1"/>
    <col min="4" max="4" width="12"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2"/>
  </cols>
  <sheetData>
    <row r="1" spans="1:21" ht="15" thickBot="1">
      <c r="A1" s="1585" t="s">
        <v>1926</v>
      </c>
      <c r="B1" s="3359" t="str">
        <f>IF(B10="北京市","北京市",C10)&amp;F10&amp;B16&amp;"国有建设用地使用权"&amp;B9&amp;"预评估"</f>
        <v>出让国有建设用地使用权抵押价格预评估</v>
      </c>
      <c r="C1" s="3360"/>
      <c r="D1" s="3360"/>
      <c r="E1" s="3360"/>
      <c r="F1" s="3360"/>
      <c r="G1" s="3360"/>
      <c r="H1" s="3360"/>
      <c r="I1" s="3361"/>
      <c r="J1" s="3071"/>
      <c r="K1" s="2309" t="str">
        <f>IF(B10="北京市","北京市",C10)&amp;F10&amp;B16&amp;"国有建设用地使用权"&amp;B9</f>
        <v>出让国有建设用地使用权抵押价格</v>
      </c>
      <c r="L1" s="3050"/>
      <c r="M1" s="3050"/>
      <c r="N1" s="3051"/>
      <c r="O1" s="3052"/>
      <c r="P1" s="3051"/>
      <c r="Q1" s="3051"/>
      <c r="R1" s="3051"/>
      <c r="S1" s="3051"/>
      <c r="T1" s="3051"/>
      <c r="U1" s="3051"/>
    </row>
    <row r="2" spans="1:21">
      <c r="A2" s="1586" t="s">
        <v>1927</v>
      </c>
      <c r="B2" s="1754"/>
      <c r="D2" s="3071"/>
      <c r="E2" s="3071"/>
      <c r="F2" s="3071"/>
      <c r="G2" s="3071"/>
      <c r="H2" s="3072"/>
      <c r="I2" s="3073"/>
      <c r="J2" s="3071"/>
      <c r="K2" s="2309" t="str">
        <f>IF(B10="北京市","北京市",C10)&amp;F10&amp;B16&amp;"国有建设用地使用权"</f>
        <v>出让国有建设用地使用权</v>
      </c>
      <c r="L2" s="3050"/>
      <c r="M2" s="3050"/>
      <c r="N2" s="3051"/>
      <c r="O2" s="3052"/>
      <c r="P2" s="3051"/>
      <c r="Q2" s="3051"/>
      <c r="R2" s="3051"/>
      <c r="S2" s="3051"/>
      <c r="T2" s="3051"/>
      <c r="U2" s="3051"/>
    </row>
    <row r="3" spans="1:21">
      <c r="A3" s="1587" t="s">
        <v>1928</v>
      </c>
      <c r="B3" s="1588"/>
      <c r="C3" s="2994" t="s">
        <v>1984</v>
      </c>
      <c r="D3" s="1588">
        <v>44315</v>
      </c>
      <c r="E3" s="3071"/>
      <c r="F3" s="3071"/>
      <c r="G3" s="3071"/>
      <c r="H3" s="3072"/>
      <c r="I3" s="3073"/>
      <c r="J3" s="3071"/>
      <c r="K3" s="3054"/>
      <c r="L3" s="3050"/>
      <c r="M3" s="3050"/>
      <c r="N3" s="3051"/>
      <c r="O3" s="3052"/>
      <c r="P3" s="3051"/>
      <c r="Q3" s="3051"/>
      <c r="R3" s="3051"/>
      <c r="S3" s="3051"/>
      <c r="T3" s="3051"/>
      <c r="U3" s="3051"/>
    </row>
    <row r="4" spans="1:21" ht="15" thickBot="1">
      <c r="A4" s="1590" t="s">
        <v>1929</v>
      </c>
      <c r="B4" s="1755" t="s">
        <v>2865</v>
      </c>
      <c r="C4" s="1758">
        <f>SUMIF(土地估价师,B4,估价师及机构信息!E3:E16)</f>
        <v>0</v>
      </c>
      <c r="D4" s="1755" t="s">
        <v>2865</v>
      </c>
      <c r="E4" s="1758">
        <f>SUMIF(土地估价师,D4,估价师及机构信息!E3:E16)</f>
        <v>0</v>
      </c>
      <c r="F4" s="1755" t="s">
        <v>943</v>
      </c>
      <c r="G4" s="1758">
        <f>SUMIF(土地估价师,F4,估价师及机构信息!E3:E16)</f>
        <v>0</v>
      </c>
      <c r="H4" s="1755" t="s">
        <v>943</v>
      </c>
      <c r="I4" s="1758">
        <f>SUMIF(土地估价师,H4,估价师及机构信息!E3:E16)</f>
        <v>0</v>
      </c>
      <c r="J4" s="3071"/>
      <c r="K4" s="2309"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1" t="s">
        <v>1930</v>
      </c>
      <c r="B5" s="1702"/>
      <c r="C5" s="1592"/>
      <c r="D5" s="1593"/>
      <c r="E5" s="3071"/>
      <c r="F5" s="3071"/>
      <c r="G5" s="3071"/>
      <c r="H5" s="3072"/>
      <c r="I5" s="3073"/>
      <c r="J5" s="3071"/>
      <c r="K5" s="3054"/>
      <c r="L5" s="3050"/>
      <c r="M5" s="3050"/>
      <c r="N5" s="3051"/>
      <c r="O5" s="3052"/>
      <c r="P5" s="3051"/>
      <c r="Q5" s="3051"/>
      <c r="R5" s="3051"/>
      <c r="S5" s="3051"/>
      <c r="T5" s="3051"/>
      <c r="U5" s="3051"/>
    </row>
    <row r="6" spans="1:21" ht="26.25">
      <c r="A6" s="1589" t="s">
        <v>2686</v>
      </c>
      <c r="B6" s="1702"/>
      <c r="C6" s="1677"/>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2687</v>
      </c>
      <c r="B7" s="1702"/>
      <c r="C7" s="1677"/>
      <c r="D7" s="1594"/>
      <c r="E7" s="3071"/>
      <c r="F7" s="3071"/>
      <c r="G7" s="3071"/>
      <c r="H7" s="3072"/>
      <c r="I7" s="3073"/>
      <c r="J7" s="3071"/>
      <c r="K7" s="3054"/>
      <c r="L7" s="3050"/>
      <c r="M7" s="3050"/>
      <c r="N7" s="3051"/>
      <c r="O7" s="3052"/>
      <c r="P7" s="3051"/>
      <c r="Q7" s="3051"/>
      <c r="R7" s="3051"/>
      <c r="S7" s="3051"/>
      <c r="T7" s="3051"/>
      <c r="U7" s="3051"/>
    </row>
    <row r="8" spans="1:21">
      <c r="A8" s="2995" t="s">
        <v>1931</v>
      </c>
      <c r="B8" s="1596" t="s">
        <v>2952</v>
      </c>
      <c r="C8" s="1597"/>
      <c r="D8" s="3365" t="s">
        <v>1933</v>
      </c>
      <c r="E8" s="1756" t="s">
        <v>3001</v>
      </c>
      <c r="F8" s="1598"/>
      <c r="G8" s="3072"/>
      <c r="H8" s="3072"/>
      <c r="I8" s="3075"/>
      <c r="J8" s="3071"/>
      <c r="K8" s="3054"/>
      <c r="L8" s="3050"/>
      <c r="M8" s="3050"/>
      <c r="N8" s="3051"/>
      <c r="O8" s="3052"/>
      <c r="P8" s="3051"/>
      <c r="Q8" s="3051"/>
      <c r="R8" s="3051"/>
      <c r="S8" s="3051"/>
      <c r="T8" s="3051"/>
      <c r="U8" s="3051"/>
    </row>
    <row r="9" spans="1:21" ht="15" thickBot="1">
      <c r="A9" s="2996" t="s">
        <v>1932</v>
      </c>
      <c r="B9" s="1599" t="s">
        <v>3001</v>
      </c>
      <c r="C9" s="1600"/>
      <c r="D9" s="3366"/>
      <c r="E9" s="1599" t="s">
        <v>2833</v>
      </c>
      <c r="F9" s="1663"/>
      <c r="G9" s="3076"/>
      <c r="H9" s="3076"/>
      <c r="I9" s="3077"/>
      <c r="J9" s="3071"/>
      <c r="K9" s="3054"/>
      <c r="L9" s="3050"/>
      <c r="M9" s="3050"/>
      <c r="N9" s="3051"/>
      <c r="O9" s="3052"/>
      <c r="P9" s="3051"/>
      <c r="Q9" s="3051"/>
      <c r="R9" s="3051"/>
      <c r="S9" s="3051"/>
      <c r="T9" s="3051"/>
      <c r="U9" s="3051"/>
    </row>
    <row r="10" spans="1:21" ht="15" thickTop="1">
      <c r="A10" s="2997" t="s">
        <v>1988</v>
      </c>
      <c r="B10" s="1639" t="s">
        <v>3002</v>
      </c>
      <c r="C10" s="1601"/>
      <c r="D10" s="1593"/>
      <c r="E10" s="1602" t="s">
        <v>1935</v>
      </c>
      <c r="F10" s="1603"/>
      <c r="G10" s="1661"/>
      <c r="H10" s="1662"/>
      <c r="I10" s="1593"/>
      <c r="J10" s="3071"/>
      <c r="K10" s="3054"/>
      <c r="L10" s="3050"/>
      <c r="M10" s="3050"/>
      <c r="N10" s="3051"/>
      <c r="O10" s="3052"/>
      <c r="P10" s="3051"/>
      <c r="Q10" s="3051"/>
      <c r="R10" s="3051"/>
      <c r="S10" s="3051"/>
      <c r="T10" s="3051"/>
      <c r="U10" s="3051"/>
    </row>
    <row r="11" spans="1:21">
      <c r="A11" s="2998" t="s">
        <v>1989</v>
      </c>
      <c r="B11" s="1618" t="s">
        <v>3003</v>
      </c>
      <c r="C11" s="1604"/>
      <c r="D11" s="1678"/>
      <c r="E11" s="3070"/>
      <c r="F11" s="3070"/>
      <c r="G11" s="3070"/>
      <c r="H11" s="3070"/>
      <c r="I11" s="3070"/>
      <c r="J11" s="3071"/>
      <c r="K11" s="3054"/>
      <c r="L11" s="3050"/>
      <c r="M11" s="3050"/>
      <c r="N11" s="3051"/>
      <c r="O11" s="3052"/>
      <c r="P11" s="3051"/>
      <c r="Q11" s="3051"/>
      <c r="R11" s="3051"/>
      <c r="S11" s="3051"/>
      <c r="T11" s="3051"/>
      <c r="U11" s="3051"/>
    </row>
    <row r="12" spans="1:21">
      <c r="A12" s="1698" t="s">
        <v>2047</v>
      </c>
      <c r="B12" s="3362"/>
      <c r="C12" s="3363"/>
      <c r="D12" s="3364"/>
      <c r="E12" s="1619" t="s">
        <v>2050</v>
      </c>
      <c r="F12" s="3380" t="s">
        <v>2866</v>
      </c>
      <c r="G12" s="3381"/>
      <c r="H12" s="3381"/>
      <c r="I12" s="3382"/>
      <c r="J12" s="3071"/>
      <c r="K12" s="3054"/>
      <c r="L12" s="3050"/>
      <c r="M12" s="3050"/>
      <c r="N12" s="3051"/>
      <c r="O12" s="3052"/>
      <c r="P12" s="3051"/>
      <c r="Q12" s="3051"/>
      <c r="R12" s="3051"/>
      <c r="S12" s="3051"/>
      <c r="T12" s="3051"/>
      <c r="U12" s="3051"/>
    </row>
    <row r="13" spans="1:21">
      <c r="A13" s="1610" t="s">
        <v>2048</v>
      </c>
      <c r="B13" s="3362"/>
      <c r="C13" s="3363"/>
      <c r="D13" s="3364"/>
      <c r="E13" s="1619" t="s">
        <v>2050</v>
      </c>
      <c r="F13" s="3380" t="s">
        <v>2867</v>
      </c>
      <c r="G13" s="3381"/>
      <c r="H13" s="3381"/>
      <c r="I13" s="3382"/>
      <c r="J13" s="3071"/>
      <c r="K13" s="3054"/>
      <c r="L13" s="3050"/>
      <c r="M13" s="3050"/>
      <c r="N13" s="3051"/>
      <c r="O13" s="3052"/>
      <c r="P13" s="3051"/>
      <c r="Q13" s="3051"/>
      <c r="R13" s="3051"/>
      <c r="S13" s="3051"/>
      <c r="T13" s="3051"/>
      <c r="U13" s="3051"/>
    </row>
    <row r="14" spans="1:21">
      <c r="A14" s="1587" t="s">
        <v>2051</v>
      </c>
      <c r="B14" s="1619"/>
      <c r="C14" s="1757" t="s">
        <v>3004</v>
      </c>
      <c r="D14" s="1653" t="str">
        <f>IF(C14="不一致","是否符合证载地类范围","")</f>
        <v/>
      </c>
      <c r="E14" s="1619"/>
      <c r="F14" s="1703" t="s">
        <v>3005</v>
      </c>
      <c r="G14" s="1648"/>
      <c r="H14" s="1648"/>
      <c r="I14" s="1750"/>
      <c r="J14" s="3071"/>
      <c r="K14" s="3054"/>
      <c r="L14" s="3050"/>
      <c r="M14" s="3050"/>
      <c r="N14" s="3051"/>
      <c r="O14" s="3052"/>
      <c r="P14" s="3051"/>
      <c r="Q14" s="3051"/>
      <c r="R14" s="3051"/>
      <c r="S14" s="3051"/>
      <c r="T14" s="3051"/>
      <c r="U14" s="3051"/>
    </row>
    <row r="15" spans="1:21" hidden="1">
      <c r="A15" s="2486"/>
      <c r="B15" s="1589"/>
      <c r="C15" s="1589"/>
      <c r="D15" s="1682" t="s">
        <v>1938</v>
      </c>
      <c r="E15" s="1682" t="s">
        <v>1939</v>
      </c>
      <c r="F15" s="1682" t="s">
        <v>1940</v>
      </c>
      <c r="G15" s="1609" t="s">
        <v>1941</v>
      </c>
      <c r="H15" s="1609" t="s">
        <v>1942</v>
      </c>
      <c r="I15" s="1609" t="s">
        <v>1943</v>
      </c>
      <c r="J15" s="3071"/>
      <c r="K15" s="3054"/>
      <c r="L15" s="3050"/>
      <c r="M15" s="3050"/>
      <c r="N15" s="3051"/>
      <c r="O15" s="3052"/>
      <c r="P15" s="3051"/>
      <c r="Q15" s="3051"/>
      <c r="R15" s="3051"/>
      <c r="S15" s="3051"/>
      <c r="T15" s="3051"/>
      <c r="U15" s="3051"/>
    </row>
    <row r="16" spans="1:21" ht="28.5">
      <c r="A16" s="2999" t="s">
        <v>1936</v>
      </c>
      <c r="B16" s="1605" t="s">
        <v>2947</v>
      </c>
      <c r="C16" s="1619" t="s">
        <v>1937</v>
      </c>
      <c r="D16" s="2487" t="s">
        <v>1938</v>
      </c>
      <c r="E16" s="1642"/>
      <c r="F16" s="1642"/>
      <c r="G16" s="1642"/>
      <c r="H16" s="1642"/>
      <c r="I16" s="1609" t="s">
        <v>1943</v>
      </c>
      <c r="J16" s="3071"/>
      <c r="K16" s="2310" t="str">
        <f>IF(D17="","",D16&amp;TEXT(D17,"yyyy年m月d日;;"))</f>
        <v>住宅2078年1月27日</v>
      </c>
      <c r="L16" s="1619" t="str">
        <f>IF(OR(K16="",M16=""),"","、")</f>
        <v/>
      </c>
      <c r="M16" s="2310" t="str">
        <f>IF(E17="","",E16&amp;TEXT(E17,"yyyy年m月d日;;"))</f>
        <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0" t="s">
        <v>1944</v>
      </c>
      <c r="D17" s="1620">
        <v>65042</v>
      </c>
      <c r="E17" s="1620"/>
      <c r="F17" s="1620"/>
      <c r="G17" s="1620"/>
      <c r="H17" s="1620"/>
      <c r="I17" s="1620"/>
      <c r="J17" s="3071"/>
      <c r="K17" s="3049" t="str">
        <f>CONCATENATE(K16,L16,M16,N16,O16,P16,Q16,R16,S16,T16,,U16)</f>
        <v>住宅2078年1月27日</v>
      </c>
      <c r="L17" s="3050"/>
      <c r="M17" s="3050"/>
      <c r="N17" s="3051"/>
      <c r="O17" s="3052"/>
      <c r="P17" s="3051"/>
      <c r="Q17" s="3051"/>
      <c r="R17" s="3051"/>
      <c r="S17" s="3051"/>
      <c r="T17" s="3051"/>
      <c r="U17" s="3051"/>
    </row>
    <row r="18" spans="1:21">
      <c r="A18" s="1679"/>
      <c r="B18" s="1606"/>
      <c r="C18" s="3000" t="s">
        <v>1945</v>
      </c>
      <c r="D18" s="1607">
        <v>70</v>
      </c>
      <c r="E18" s="1607"/>
      <c r="F18" s="1607"/>
      <c r="G18" s="1607"/>
      <c r="H18" s="1607"/>
      <c r="I18" s="1607"/>
      <c r="J18" s="3071"/>
      <c r="K18" s="3054"/>
      <c r="L18" s="3050"/>
      <c r="M18" s="3050"/>
      <c r="N18" s="3051"/>
      <c r="O18" s="3052"/>
      <c r="P18" s="3051"/>
      <c r="Q18" s="3051"/>
      <c r="R18" s="3051"/>
      <c r="S18" s="3051"/>
      <c r="T18" s="3051"/>
      <c r="U18" s="3051"/>
    </row>
    <row r="19" spans="1:21">
      <c r="A19" s="1679"/>
      <c r="B19" s="1606"/>
      <c r="C19" s="1586" t="s">
        <v>1946</v>
      </c>
      <c r="D19" s="1674">
        <f>IF(B16="出让",IF(D17="","",ROUNDDOWN(MIN((D17-$D$3)/365,D18),2)),D18)</f>
        <v>56.78</v>
      </c>
      <c r="E19" s="1608" t="str">
        <f>IF(B16="出让",IF(E17="","",ROUNDDOWN(MIN((E17-$D$3)/365,E18),2)),E18)</f>
        <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1"/>
      <c r="K19" s="3054"/>
      <c r="L19" s="3050"/>
      <c r="M19" s="3050"/>
      <c r="N19" s="3051"/>
      <c r="O19" s="3052"/>
      <c r="P19" s="3051"/>
      <c r="Q19" s="3051"/>
      <c r="R19" s="3051"/>
      <c r="S19" s="3051"/>
      <c r="T19" s="3051"/>
      <c r="U19" s="3051"/>
    </row>
    <row r="20" spans="1:21">
      <c r="A20" s="1699"/>
      <c r="B20" s="1700"/>
      <c r="C20" s="1701" t="s">
        <v>2049</v>
      </c>
      <c r="D20" s="3377"/>
      <c r="E20" s="3378"/>
      <c r="F20" s="3378"/>
      <c r="G20" s="3378"/>
      <c r="H20" s="3378"/>
      <c r="I20" s="3379"/>
      <c r="J20" s="3071"/>
      <c r="K20" s="3054"/>
      <c r="L20" s="3050"/>
      <c r="M20" s="3050"/>
      <c r="N20" s="3051"/>
      <c r="O20" s="3052"/>
      <c r="P20" s="3051"/>
      <c r="Q20" s="3051"/>
      <c r="R20" s="3051"/>
      <c r="S20" s="3051"/>
      <c r="T20" s="3051"/>
      <c r="U20" s="3051"/>
    </row>
    <row r="21" spans="1:21">
      <c r="A21" s="1679" t="s">
        <v>1947</v>
      </c>
      <c r="B21" s="1680" t="s">
        <v>1948</v>
      </c>
      <c r="C21" s="1675">
        <f>'数据-汇总表'!E3</f>
        <v>23553.4</v>
      </c>
      <c r="D21" s="1676" t="s">
        <v>1949</v>
      </c>
      <c r="E21" s="3367" t="s">
        <v>1987</v>
      </c>
      <c r="F21" s="3368"/>
      <c r="G21" s="3368"/>
      <c r="H21" s="3368"/>
      <c r="I21" s="3369"/>
      <c r="J21" s="3071"/>
      <c r="K21" s="3054"/>
      <c r="L21" s="3050"/>
      <c r="M21" s="3050"/>
      <c r="N21" s="3051"/>
      <c r="O21" s="3052"/>
      <c r="P21" s="3051"/>
      <c r="Q21" s="3051"/>
      <c r="R21" s="3051"/>
      <c r="S21" s="3051"/>
      <c r="T21" s="3051"/>
      <c r="U21" s="3051"/>
    </row>
    <row r="22" spans="1:21">
      <c r="A22" s="2799" t="s">
        <v>943</v>
      </c>
      <c r="B22" s="1587" t="s">
        <v>1950</v>
      </c>
      <c r="C22" s="1609">
        <f>'数据-汇总表'!D3</f>
        <v>23553.4</v>
      </c>
      <c r="D22" s="1610" t="s">
        <v>1949</v>
      </c>
      <c r="E22" s="3367" t="s">
        <v>2868</v>
      </c>
      <c r="F22" s="3368"/>
      <c r="G22" s="3368"/>
      <c r="H22" s="3368"/>
      <c r="I22" s="3369"/>
      <c r="J22" s="3071"/>
      <c r="K22" s="3054"/>
      <c r="L22" s="3050"/>
      <c r="M22" s="3050"/>
      <c r="N22" s="3051"/>
      <c r="O22" s="3052"/>
      <c r="P22" s="3051"/>
      <c r="Q22" s="3051"/>
      <c r="R22" s="3051"/>
      <c r="S22" s="3051"/>
      <c r="T22" s="3051"/>
      <c r="U22" s="3051"/>
    </row>
    <row r="23" spans="1:21" ht="43.5" thickBot="1">
      <c r="A23" s="1681" t="s">
        <v>1951</v>
      </c>
      <c r="B23" s="1621" t="s">
        <v>1952</v>
      </c>
      <c r="C23" s="1622"/>
      <c r="D23" s="1623" t="s">
        <v>1953</v>
      </c>
      <c r="E23" s="1624"/>
      <c r="F23" s="1625" t="str">
        <f>IF(AND(C23="是",E23="否"),"是否提供他项权证或相关说明","")</f>
        <v/>
      </c>
      <c r="G23" s="1626"/>
      <c r="H23" s="3071"/>
      <c r="I23" s="3075"/>
      <c r="J23" s="3071"/>
      <c r="K23" s="3054"/>
      <c r="L23" s="3050"/>
      <c r="M23" s="3050"/>
      <c r="N23" s="3051"/>
      <c r="O23" s="3052"/>
      <c r="P23" s="3051"/>
      <c r="Q23" s="3051"/>
      <c r="R23" s="3051"/>
      <c r="S23" s="3051"/>
      <c r="T23" s="3051"/>
      <c r="U23" s="3051"/>
    </row>
    <row r="24" spans="1:21">
      <c r="A24" s="1666" t="s">
        <v>1954</v>
      </c>
      <c r="B24" s="3370" t="s">
        <v>1955</v>
      </c>
      <c r="C24" s="3371"/>
      <c r="D24" s="3372" t="s">
        <v>1956</v>
      </c>
      <c r="E24" s="3373"/>
      <c r="F24" s="1628" t="s">
        <v>1957</v>
      </c>
      <c r="G24" s="3071"/>
      <c r="H24" s="3071"/>
      <c r="I24" s="3075"/>
      <c r="J24" s="3071"/>
      <c r="K24" s="335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1"/>
      <c r="O24" s="3052"/>
      <c r="P24" s="3051"/>
      <c r="Q24" s="3051"/>
      <c r="R24" s="3051"/>
      <c r="S24" s="3051"/>
      <c r="T24" s="3051"/>
      <c r="U24" s="3051"/>
    </row>
    <row r="25" spans="1:21" ht="28.5">
      <c r="A25" s="1667"/>
      <c r="B25" s="1664" t="s">
        <v>2313</v>
      </c>
      <c r="C25" s="1629" t="s">
        <v>1959</v>
      </c>
      <c r="D25" s="1630"/>
      <c r="E25" s="1631" t="s">
        <v>943</v>
      </c>
      <c r="F25" s="1632"/>
      <c r="G25" s="3071"/>
      <c r="H25" s="3071"/>
      <c r="I25" s="3075"/>
      <c r="J25" s="3071"/>
      <c r="K25" s="335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1"/>
      <c r="O25" s="3052"/>
      <c r="P25" s="3051"/>
      <c r="Q25" s="3051"/>
      <c r="R25" s="3051"/>
      <c r="S25" s="3051"/>
      <c r="T25" s="3051"/>
      <c r="U25" s="3051"/>
    </row>
    <row r="26" spans="1:21" ht="29.25" thickBot="1">
      <c r="A26" s="1668"/>
      <c r="B26" s="1665" t="s">
        <v>1960</v>
      </c>
      <c r="C26" s="1629" t="s">
        <v>2314</v>
      </c>
      <c r="D26" s="3072"/>
      <c r="E26" s="3072"/>
      <c r="F26" s="3078"/>
      <c r="G26" s="3071"/>
      <c r="H26" s="3071"/>
      <c r="I26" s="3075"/>
      <c r="J26" s="3071"/>
      <c r="K26" s="335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1"/>
      <c r="O26" s="3052"/>
      <c r="P26" s="3051"/>
      <c r="Q26" s="3051"/>
      <c r="R26" s="3051"/>
      <c r="S26" s="3051"/>
      <c r="T26" s="3051"/>
      <c r="U26" s="3051"/>
    </row>
    <row r="27" spans="1:21">
      <c r="A27" s="1671" t="s">
        <v>1961</v>
      </c>
      <c r="B27" s="1669" t="s">
        <v>1962</v>
      </c>
      <c r="C27" s="1633"/>
      <c r="D27" s="2492" t="s">
        <v>1962</v>
      </c>
      <c r="E27" s="1634"/>
      <c r="F27" s="3078"/>
      <c r="G27" s="3071"/>
      <c r="H27" s="3071"/>
      <c r="I27" s="3075"/>
      <c r="J27" s="3071"/>
      <c r="K27" s="3054"/>
      <c r="L27" s="3050"/>
      <c r="M27" s="3050"/>
      <c r="N27" s="3051"/>
      <c r="O27" s="3052"/>
      <c r="P27" s="3051"/>
      <c r="Q27" s="3051"/>
      <c r="R27" s="3051"/>
      <c r="S27" s="3051"/>
      <c r="T27" s="3051"/>
      <c r="U27" s="3051"/>
    </row>
    <row r="28" spans="1:21">
      <c r="A28" s="1672"/>
      <c r="B28" s="1669" t="s">
        <v>1963</v>
      </c>
      <c r="C28" s="1635"/>
      <c r="D28" s="2493" t="s">
        <v>1963</v>
      </c>
      <c r="E28" s="1636"/>
      <c r="F28" s="3078"/>
      <c r="G28" s="3071"/>
      <c r="H28" s="3071"/>
      <c r="I28" s="3075"/>
      <c r="J28" s="3071"/>
      <c r="K28" s="3054"/>
      <c r="L28" s="3050"/>
      <c r="M28" s="3050"/>
      <c r="N28" s="3051"/>
      <c r="O28" s="3052"/>
      <c r="P28" s="3051"/>
      <c r="Q28" s="3051"/>
      <c r="R28" s="3051"/>
      <c r="S28" s="3051"/>
      <c r="T28" s="3051"/>
      <c r="U28" s="3051"/>
    </row>
    <row r="29" spans="1:21">
      <c r="A29" s="1672"/>
      <c r="B29" s="1669" t="s">
        <v>1964</v>
      </c>
      <c r="C29" s="1635"/>
      <c r="D29" s="2493" t="s">
        <v>1964</v>
      </c>
      <c r="E29" s="1636"/>
      <c r="F29" s="3078"/>
      <c r="G29" s="3071"/>
      <c r="H29" s="3071"/>
      <c r="I29" s="3075"/>
      <c r="J29" s="3071"/>
      <c r="K29" s="3054"/>
      <c r="L29" s="3050"/>
      <c r="M29" s="3050"/>
      <c r="N29" s="3051"/>
      <c r="O29" s="3052"/>
      <c r="P29" s="3051"/>
      <c r="Q29" s="3051"/>
      <c r="R29" s="3051"/>
      <c r="S29" s="3051"/>
      <c r="T29" s="3051"/>
      <c r="U29" s="3051"/>
    </row>
    <row r="30" spans="1:21" ht="15" thickBot="1">
      <c r="A30" s="1673"/>
      <c r="B30" s="1670" t="s">
        <v>1965</v>
      </c>
      <c r="C30" s="1637"/>
      <c r="D30" s="2494" t="s">
        <v>1965</v>
      </c>
      <c r="E30" s="1638"/>
      <c r="F30" s="3079"/>
      <c r="G30" s="3076"/>
      <c r="H30" s="3076"/>
      <c r="I30" s="3077"/>
      <c r="J30" s="3071"/>
      <c r="K30" s="3054"/>
      <c r="L30" s="3050"/>
      <c r="M30" s="3050"/>
      <c r="N30" s="3051"/>
      <c r="O30" s="3052"/>
      <c r="P30" s="3051"/>
      <c r="Q30" s="3051"/>
      <c r="R30" s="3051"/>
      <c r="S30" s="3051"/>
      <c r="T30" s="3051"/>
      <c r="U30" s="3051"/>
    </row>
    <row r="31" spans="1:21" ht="15" thickTop="1">
      <c r="A31" s="3385" t="s">
        <v>1990</v>
      </c>
      <c r="B31" s="1680" t="s">
        <v>1991</v>
      </c>
      <c r="C31" s="3383"/>
      <c r="D31" s="3384"/>
      <c r="E31" s="3071"/>
      <c r="F31" s="3071"/>
      <c r="G31" s="3071"/>
      <c r="H31" s="3071"/>
      <c r="I31" s="3075"/>
      <c r="J31" s="3071"/>
      <c r="K31" s="3057"/>
      <c r="L31" s="3051"/>
      <c r="M31" s="3051"/>
      <c r="N31" s="3051"/>
      <c r="O31" s="3051"/>
      <c r="P31" s="3051"/>
      <c r="Q31" s="3051"/>
      <c r="R31" s="3051"/>
      <c r="S31" s="3051"/>
      <c r="T31" s="3051"/>
      <c r="U31" s="3051"/>
    </row>
    <row r="32" spans="1:21">
      <c r="A32" s="3385"/>
      <c r="B32" s="1587" t="s">
        <v>1992</v>
      </c>
      <c r="C32" s="1639"/>
      <c r="D32" s="1640"/>
      <c r="E32" s="3071"/>
      <c r="F32" s="3071"/>
      <c r="G32" s="3071"/>
      <c r="H32" s="3071"/>
      <c r="I32" s="3075"/>
      <c r="J32" s="3071"/>
      <c r="K32" s="3057"/>
      <c r="L32" s="3051"/>
      <c r="M32" s="3051"/>
      <c r="N32" s="3051"/>
      <c r="O32" s="3051"/>
      <c r="P32" s="3051"/>
      <c r="Q32" s="3051"/>
      <c r="R32" s="3051"/>
      <c r="S32" s="3051"/>
      <c r="T32" s="3051"/>
      <c r="U32" s="3051"/>
    </row>
    <row r="33" spans="1:28">
      <c r="A33" s="3385"/>
      <c r="B33" s="1587" t="s">
        <v>1993</v>
      </c>
      <c r="C33" s="1641"/>
      <c r="D33" s="1751"/>
      <c r="E33" s="3071"/>
      <c r="F33" s="3071"/>
      <c r="G33" s="3071"/>
      <c r="H33" s="3071"/>
      <c r="I33" s="3075"/>
      <c r="J33" s="3071"/>
      <c r="K33" s="3057"/>
      <c r="L33" s="3051"/>
      <c r="M33" s="3051"/>
      <c r="N33" s="3051"/>
      <c r="O33" s="3051"/>
      <c r="P33" s="3051"/>
      <c r="Q33" s="3051"/>
      <c r="R33" s="3051"/>
      <c r="S33" s="3051"/>
      <c r="T33" s="3051"/>
      <c r="U33" s="3051"/>
    </row>
    <row r="34" spans="1:28">
      <c r="A34" s="3386"/>
      <c r="B34" s="1587" t="s">
        <v>1994</v>
      </c>
      <c r="C34" s="3387"/>
      <c r="D34" s="3388"/>
      <c r="E34" s="3071"/>
      <c r="F34" s="3071"/>
      <c r="G34" s="3071"/>
      <c r="H34" s="3071"/>
      <c r="I34" s="3075"/>
      <c r="J34" s="3071"/>
      <c r="K34" s="3057"/>
      <c r="L34" s="3051"/>
      <c r="M34" s="3051"/>
      <c r="N34" s="3051"/>
      <c r="O34" s="3051"/>
      <c r="P34" s="3051"/>
      <c r="Q34" s="3051"/>
      <c r="R34" s="3051"/>
      <c r="S34" s="3051"/>
      <c r="T34" s="3051"/>
      <c r="U34" s="3051"/>
    </row>
    <row r="35" spans="1:28">
      <c r="A35" s="3389" t="s">
        <v>839</v>
      </c>
      <c r="B35" s="1642"/>
      <c r="C35" s="1689" t="str">
        <f>IF(B35="场地平整","——","具体情况：")</f>
        <v>具体情况：</v>
      </c>
      <c r="D35" s="3391"/>
      <c r="E35" s="3392"/>
      <c r="F35" s="3392"/>
      <c r="G35" s="3392"/>
      <c r="H35" s="3392"/>
      <c r="I35" s="3393"/>
      <c r="J35" s="3071"/>
      <c r="K35" s="3058"/>
      <c r="L35" s="3050"/>
      <c r="M35" s="3050"/>
      <c r="N35" s="3051"/>
      <c r="O35" s="3052"/>
      <c r="P35" s="3051"/>
      <c r="Q35" s="3051"/>
      <c r="R35" s="3051"/>
      <c r="S35" s="3051"/>
      <c r="T35" s="3051"/>
      <c r="U35" s="3051"/>
    </row>
    <row r="36" spans="1:28">
      <c r="A36" s="3385"/>
      <c r="B36" s="3394" t="s">
        <v>2043</v>
      </c>
      <c r="C36" s="3395"/>
      <c r="D36" s="1705"/>
      <c r="E36" s="3396"/>
      <c r="F36" s="3396"/>
      <c r="G36" s="1610" t="str">
        <f>IF(B35="场地未平整","估价结果处理","")</f>
        <v/>
      </c>
      <c r="H36" s="3397"/>
      <c r="I36" s="3397"/>
      <c r="J36" s="3071"/>
      <c r="K36" s="3058"/>
      <c r="L36" s="3050"/>
      <c r="M36" s="3050"/>
      <c r="N36" s="3051"/>
      <c r="O36" s="3052"/>
      <c r="P36" s="3051"/>
      <c r="Q36" s="3051"/>
      <c r="R36" s="3051"/>
      <c r="S36" s="3051"/>
      <c r="T36" s="3051"/>
      <c r="U36" s="3051"/>
    </row>
    <row r="37" spans="1:28" ht="28.5">
      <c r="A37" s="3385"/>
      <c r="B37" s="3374" t="s">
        <v>840</v>
      </c>
      <c r="C37" s="1644" t="s">
        <v>841</v>
      </c>
      <c r="D37" s="1645"/>
      <c r="E37" s="1646"/>
      <c r="F37" s="3071"/>
      <c r="G37" s="3071"/>
      <c r="H37" s="3071"/>
      <c r="I37" s="3075"/>
      <c r="J37" s="3071"/>
      <c r="K37" s="3058"/>
      <c r="L37" s="3051"/>
      <c r="M37" s="3051"/>
      <c r="N37" s="3051"/>
      <c r="O37" s="3051"/>
      <c r="P37" s="3051"/>
      <c r="Q37" s="3051"/>
      <c r="R37" s="3051"/>
      <c r="S37" s="3051"/>
      <c r="T37" s="3051"/>
      <c r="U37" s="3051"/>
    </row>
    <row r="38" spans="1:28">
      <c r="A38" s="3385"/>
      <c r="B38" s="3375"/>
      <c r="C38" s="1595" t="s">
        <v>842</v>
      </c>
      <c r="D38" s="1704">
        <f>ROUNDDOWN(MIN(('数据-取费表'!$B$2-D37)/365,D34),1)</f>
        <v>121.4</v>
      </c>
      <c r="E38" s="1647" t="s">
        <v>843</v>
      </c>
      <c r="F38" s="3071"/>
      <c r="G38" s="3071"/>
      <c r="H38" s="3071"/>
      <c r="I38" s="3075"/>
      <c r="J38" s="3071"/>
      <c r="K38" s="3058"/>
      <c r="L38" s="3051"/>
      <c r="M38" s="3051"/>
      <c r="N38" s="3051"/>
      <c r="O38" s="3051"/>
      <c r="P38" s="3051"/>
      <c r="Q38" s="3051"/>
      <c r="R38" s="3051"/>
      <c r="S38" s="3051"/>
      <c r="T38" s="3051"/>
      <c r="U38" s="3051"/>
    </row>
    <row r="39" spans="1:28">
      <c r="A39" s="3386"/>
      <c r="B39" s="3376"/>
      <c r="C39" s="1617" t="str">
        <f>IF(D38&lt;1,"不存在土地闲置",IF(B35="宗地内已开工建设","已开工，不存在土地闲置","估价对象已涉嫌土地闲置"))</f>
        <v>估价对象已涉嫌土地闲置</v>
      </c>
      <c r="D39" s="1648"/>
      <c r="E39" s="1649"/>
      <c r="F39" s="3071"/>
      <c r="G39" s="3071"/>
      <c r="H39" s="3071"/>
      <c r="I39" s="3075"/>
      <c r="J39" s="3071"/>
      <c r="K39" s="3054"/>
      <c r="L39" s="3050"/>
      <c r="M39" s="3050"/>
      <c r="N39" s="3051"/>
      <c r="O39" s="3052"/>
      <c r="P39" s="3051"/>
      <c r="Q39" s="3051"/>
      <c r="R39" s="3051"/>
      <c r="S39" s="3051"/>
      <c r="T39" s="3051"/>
      <c r="U39" s="3051"/>
    </row>
    <row r="40" spans="1:28">
      <c r="A40" s="1610" t="s">
        <v>1966</v>
      </c>
      <c r="B40" s="1611"/>
      <c r="C40" s="1611"/>
      <c r="D40" s="1611"/>
      <c r="E40" s="1611"/>
      <c r="F40" s="1611"/>
      <c r="G40" s="1611"/>
      <c r="H40" s="1611"/>
      <c r="I40" s="3075"/>
      <c r="J40" s="3071"/>
      <c r="K40" s="3019">
        <f>COUNTIF(B40:H40,"——")</f>
        <v>0</v>
      </c>
      <c r="L40" s="1619" t="s">
        <v>1967</v>
      </c>
      <c r="M40" s="1616" t="s">
        <v>1968</v>
      </c>
      <c r="N40" s="1616" t="s">
        <v>1969</v>
      </c>
      <c r="O40" s="1616" t="s">
        <v>1970</v>
      </c>
      <c r="P40" s="1616" t="s">
        <v>1971</v>
      </c>
      <c r="Q40" s="1616" t="s">
        <v>1972</v>
      </c>
      <c r="R40" s="1616" t="s">
        <v>1973</v>
      </c>
      <c r="S40" s="3357" t="s">
        <v>1974</v>
      </c>
      <c r="T40" s="1651" t="str">
        <f>NUMBERSTRING(7-K40,1)&amp;"通"</f>
        <v>七通</v>
      </c>
      <c r="U40" s="3051"/>
    </row>
    <row r="41" spans="1:28">
      <c r="A41" s="1589"/>
      <c r="B41" s="3390" t="s">
        <v>1712</v>
      </c>
      <c r="C41" s="3390"/>
      <c r="D41" s="3390"/>
      <c r="E41" s="3390"/>
      <c r="F41" s="1652">
        <f>C10</f>
        <v>0</v>
      </c>
      <c r="G41" s="3071"/>
      <c r="H41" s="3071"/>
      <c r="I41" s="3075"/>
      <c r="J41" s="3071"/>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57"/>
      <c r="T41" s="1653" t="str">
        <f>IF(T40="一通",L41,IF(T40="二通",M41,IF(T40="三通",N41,IF(T40="四通",O41,IF(T40="五通",P41,IF(T40="六通",Q41,R41))))))</f>
        <v>、、、、、、</v>
      </c>
      <c r="U41" s="3051"/>
    </row>
    <row r="42" spans="1:28">
      <c r="A42" s="1655"/>
      <c r="B42" s="1682" t="s">
        <v>1888</v>
      </c>
      <c r="C42" s="1682" t="s">
        <v>1889</v>
      </c>
      <c r="D42" s="1682" t="s">
        <v>1890</v>
      </c>
      <c r="E42" s="1619" t="s">
        <v>1891</v>
      </c>
      <c r="F42" s="1656"/>
      <c r="G42" s="3071"/>
      <c r="H42" s="3071"/>
      <c r="I42" s="3075"/>
      <c r="J42" s="3071"/>
      <c r="K42" s="3054"/>
      <c r="L42" s="3050"/>
      <c r="M42" s="3050"/>
      <c r="N42" s="3051"/>
      <c r="O42" s="3052"/>
      <c r="P42" s="3051"/>
      <c r="Q42" s="3051"/>
      <c r="R42" s="3051"/>
      <c r="S42" s="3051"/>
      <c r="T42" s="3051"/>
      <c r="U42" s="3051"/>
    </row>
    <row r="43" spans="1:28">
      <c r="A43" s="3022" t="s">
        <v>1697</v>
      </c>
      <c r="B43" s="1657"/>
      <c r="C43" s="1657"/>
      <c r="D43" s="1657"/>
      <c r="E43" s="1657"/>
      <c r="F43" s="1658"/>
      <c r="G43" s="3071"/>
      <c r="H43" s="3071"/>
      <c r="I43" s="3075"/>
      <c r="J43" s="3071"/>
      <c r="K43" s="3054"/>
      <c r="L43" s="3050"/>
      <c r="M43" s="3050"/>
      <c r="N43" s="3051"/>
      <c r="O43" s="3052"/>
      <c r="P43" s="3051"/>
      <c r="Q43" s="3051"/>
      <c r="R43" s="3051"/>
      <c r="S43" s="3051"/>
      <c r="T43" s="3051"/>
      <c r="U43" s="3051"/>
    </row>
    <row r="44" spans="1:28">
      <c r="A44" s="3022" t="s">
        <v>1698</v>
      </c>
      <c r="B44" s="1657"/>
      <c r="C44" s="1657"/>
      <c r="D44" s="1657"/>
      <c r="E44" s="1705"/>
      <c r="F44" s="1658"/>
      <c r="G44" s="3071"/>
      <c r="H44" s="3071"/>
      <c r="I44" s="3075"/>
      <c r="J44" s="3071"/>
      <c r="K44" s="3054"/>
      <c r="L44" s="3050"/>
      <c r="M44" s="3050"/>
      <c r="N44" s="3051"/>
      <c r="O44" s="3052"/>
      <c r="P44" s="3051"/>
      <c r="Q44" s="3051"/>
      <c r="R44" s="3051"/>
      <c r="S44" s="3051"/>
      <c r="T44" s="3051"/>
      <c r="U44" s="3051"/>
    </row>
    <row r="45" spans="1:28" s="2770" customFormat="1" ht="21" thickBot="1">
      <c r="A45" s="2771" t="s">
        <v>2869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4"/>
      <c r="B46" s="1614"/>
      <c r="C46" s="1614"/>
      <c r="D46" s="1614"/>
      <c r="E46" s="1614"/>
      <c r="F46" s="1614"/>
      <c r="G46" s="1614"/>
      <c r="H46" s="1614"/>
      <c r="I46" s="1627"/>
      <c r="J46" s="1614"/>
      <c r="K46" s="3054"/>
      <c r="L46" s="3050"/>
      <c r="M46" s="3050"/>
      <c r="N46" s="3051"/>
      <c r="O46" s="3052"/>
      <c r="P46" s="3051"/>
      <c r="Q46" s="3051"/>
      <c r="R46" s="3051"/>
      <c r="S46" s="3051"/>
      <c r="T46" s="3051"/>
      <c r="U46" s="3051"/>
    </row>
    <row r="47" spans="1:28">
      <c r="A47" s="1659" t="s">
        <v>1995</v>
      </c>
      <c r="B47" s="1660"/>
      <c r="C47" s="1649"/>
      <c r="D47" s="1614"/>
      <c r="E47" s="1614"/>
      <c r="F47" s="1614"/>
      <c r="G47" s="1614"/>
      <c r="H47" s="1614"/>
      <c r="I47" s="1615"/>
      <c r="J47" s="1614"/>
      <c r="K47" s="3054"/>
      <c r="L47" s="3050"/>
      <c r="M47" s="3050"/>
      <c r="N47" s="3051"/>
      <c r="O47" s="3052"/>
      <c r="P47" s="3051"/>
      <c r="Q47" s="3051"/>
      <c r="R47" s="3051"/>
      <c r="S47" s="3051"/>
      <c r="T47" s="3051"/>
      <c r="U47" s="3051"/>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4" t="s">
        <v>2006</v>
      </c>
      <c r="L48" s="3064" t="s">
        <v>2007</v>
      </c>
      <c r="M48" s="3064" t="s">
        <v>2008</v>
      </c>
      <c r="N48" s="3065" t="s">
        <v>2009</v>
      </c>
      <c r="O48" s="3065" t="s">
        <v>2010</v>
      </c>
      <c r="P48" s="3065" t="s">
        <v>2011</v>
      </c>
      <c r="Q48" s="3056" t="s">
        <v>2012</v>
      </c>
      <c r="R48" s="3056" t="s">
        <v>2013</v>
      </c>
      <c r="S48" s="3051"/>
      <c r="T48" s="3051"/>
      <c r="U48" s="3051"/>
    </row>
    <row r="49" spans="1:21">
      <c r="A49" s="1616"/>
      <c r="B49" s="1650"/>
      <c r="C49" s="1650"/>
      <c r="D49" s="1650"/>
      <c r="E49" s="1650"/>
      <c r="F49" s="1650"/>
      <c r="G49" s="1650"/>
      <c r="H49" s="1650"/>
      <c r="I49" s="1650"/>
      <c r="J49" s="1752"/>
      <c r="K49" s="3066"/>
      <c r="L49" s="3066"/>
      <c r="M49" s="1656"/>
      <c r="N49" s="1656"/>
      <c r="O49" s="1656"/>
      <c r="P49" s="1656"/>
      <c r="Q49" s="1656"/>
      <c r="R49" s="1656"/>
      <c r="S49" s="3051"/>
      <c r="T49" s="3051"/>
      <c r="U49" s="3051"/>
    </row>
    <row r="50" spans="1:21">
      <c r="A50" s="1616"/>
      <c r="B50" s="1616"/>
      <c r="C50" s="1650"/>
      <c r="D50" s="1650"/>
      <c r="E50" s="1650"/>
      <c r="F50" s="1650"/>
      <c r="G50" s="1650"/>
      <c r="H50" s="1650"/>
      <c r="I50" s="1650"/>
      <c r="J50" s="1752"/>
      <c r="K50" s="3066"/>
      <c r="L50" s="3066"/>
      <c r="M50" s="1656"/>
      <c r="N50" s="1656"/>
      <c r="O50" s="1656"/>
      <c r="P50" s="1656"/>
      <c r="Q50" s="1656"/>
      <c r="R50" s="1656"/>
      <c r="S50" s="3051"/>
      <c r="T50" s="3051"/>
      <c r="U50" s="3051"/>
    </row>
    <row r="51" spans="1:21">
      <c r="A51" s="1616"/>
      <c r="B51" s="1616"/>
      <c r="C51" s="1650"/>
      <c r="D51" s="1650"/>
      <c r="E51" s="1650"/>
      <c r="F51" s="1650"/>
      <c r="G51" s="1650"/>
      <c r="H51" s="1650"/>
      <c r="I51" s="1650"/>
      <c r="J51" s="1752"/>
      <c r="K51" s="3066"/>
      <c r="L51" s="3066"/>
      <c r="M51" s="1656"/>
      <c r="N51" s="1656"/>
      <c r="O51" s="1656"/>
      <c r="P51" s="1656"/>
      <c r="Q51" s="1656"/>
      <c r="R51" s="1656"/>
      <c r="S51" s="3051"/>
      <c r="T51" s="3051"/>
      <c r="U51" s="3051"/>
    </row>
    <row r="52" spans="1:21">
      <c r="A52" s="1616"/>
      <c r="B52" s="1616"/>
      <c r="C52" s="1650"/>
      <c r="D52" s="1650"/>
      <c r="E52" s="1650"/>
      <c r="F52" s="1650"/>
      <c r="G52" s="1650"/>
      <c r="H52" s="1650"/>
      <c r="I52" s="1650"/>
      <c r="J52" s="1752"/>
      <c r="K52" s="3066"/>
      <c r="L52" s="3066"/>
      <c r="M52" s="1656"/>
      <c r="N52" s="1656"/>
      <c r="O52" s="1656"/>
      <c r="P52" s="1656"/>
      <c r="Q52" s="1656"/>
      <c r="R52" s="1656"/>
      <c r="S52" s="3051"/>
      <c r="T52" s="3051"/>
      <c r="U52" s="3051"/>
    </row>
    <row r="53" spans="1:21">
      <c r="A53" s="1616"/>
      <c r="B53" s="1616"/>
      <c r="C53" s="1650"/>
      <c r="D53" s="1650"/>
      <c r="E53" s="1650"/>
      <c r="F53" s="1650"/>
      <c r="G53" s="1650"/>
      <c r="H53" s="1650"/>
      <c r="I53" s="1650"/>
      <c r="J53" s="1752"/>
      <c r="K53" s="3066"/>
      <c r="L53" s="3066"/>
      <c r="M53" s="1656"/>
      <c r="N53" s="1656"/>
      <c r="O53" s="1656"/>
      <c r="P53" s="1656"/>
      <c r="Q53" s="1656"/>
      <c r="R53" s="1656"/>
      <c r="S53" s="3051"/>
      <c r="T53" s="3051"/>
      <c r="U53" s="3051"/>
    </row>
    <row r="54" spans="1:21">
      <c r="A54" s="1616"/>
      <c r="B54" s="1616"/>
      <c r="C54" s="1616"/>
      <c r="D54" s="1616"/>
      <c r="E54" s="1616"/>
      <c r="F54" s="1650"/>
      <c r="G54" s="1616"/>
      <c r="H54" s="1616"/>
      <c r="I54" s="1616"/>
      <c r="J54" s="1753"/>
      <c r="K54" s="3066"/>
      <c r="L54" s="3066"/>
      <c r="M54" s="3066"/>
      <c r="N54" s="3018"/>
      <c r="O54" s="3018"/>
      <c r="P54" s="3018"/>
      <c r="Q54" s="3018"/>
      <c r="R54" s="3018"/>
      <c r="S54" s="3051"/>
      <c r="T54" s="3051"/>
      <c r="U54" s="3051"/>
    </row>
    <row r="55" spans="1:21">
      <c r="A55" s="1616"/>
      <c r="B55" s="1616"/>
      <c r="C55" s="1616"/>
      <c r="D55" s="1616"/>
      <c r="E55" s="1616"/>
      <c r="F55" s="1650"/>
      <c r="G55" s="1616"/>
      <c r="H55" s="1616"/>
      <c r="I55" s="1616"/>
      <c r="J55" s="1753"/>
      <c r="K55" s="3066"/>
      <c r="L55" s="3066"/>
      <c r="M55" s="3066"/>
      <c r="N55" s="3018"/>
      <c r="O55" s="3018"/>
      <c r="P55" s="3018"/>
      <c r="Q55" s="3018"/>
      <c r="R55" s="3018"/>
      <c r="S55" s="3051"/>
      <c r="T55" s="3051"/>
      <c r="U55" s="3051"/>
    </row>
    <row r="56" spans="1:21">
      <c r="A56" s="1616"/>
      <c r="B56" s="1616"/>
      <c r="C56" s="1616"/>
      <c r="D56" s="1616"/>
      <c r="E56" s="1616"/>
      <c r="F56" s="1650"/>
      <c r="G56" s="1616"/>
      <c r="H56" s="1616"/>
      <c r="I56" s="1616"/>
      <c r="J56" s="1753"/>
      <c r="K56" s="3066"/>
      <c r="L56" s="3066"/>
      <c r="M56" s="3066"/>
      <c r="N56" s="3018"/>
      <c r="O56" s="3018"/>
      <c r="P56" s="3018"/>
      <c r="Q56" s="3018"/>
      <c r="R56" s="3018"/>
      <c r="S56" s="3051"/>
      <c r="T56" s="3051"/>
      <c r="U56" s="3051"/>
    </row>
    <row r="57" spans="1:21">
      <c r="A57" s="1616"/>
      <c r="B57" s="1616"/>
      <c r="C57" s="1616"/>
      <c r="D57" s="1616"/>
      <c r="E57" s="1616"/>
      <c r="F57" s="1650"/>
      <c r="G57" s="1616"/>
      <c r="H57" s="1616"/>
      <c r="I57" s="1616"/>
      <c r="J57" s="1753"/>
      <c r="K57" s="3066"/>
      <c r="L57" s="3066"/>
      <c r="M57" s="3066"/>
      <c r="N57" s="3018"/>
      <c r="O57" s="3018"/>
      <c r="P57" s="3018"/>
      <c r="Q57" s="3018"/>
      <c r="R57" s="3018"/>
      <c r="S57" s="3051"/>
      <c r="T57" s="3051"/>
      <c r="U57" s="3051"/>
    </row>
    <row r="58" spans="1:21">
      <c r="A58" s="1616"/>
      <c r="B58" s="1616"/>
      <c r="C58" s="1616"/>
      <c r="D58" s="1616"/>
      <c r="E58" s="1616"/>
      <c r="F58" s="1650"/>
      <c r="G58" s="1616"/>
      <c r="H58" s="1616"/>
      <c r="I58" s="1616"/>
      <c r="J58" s="1753"/>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23553.4</v>
      </c>
      <c r="B3" s="22">
        <f>IF(C3="否",G5-AT5,G5)</f>
        <v>23553.4</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23553.4</v>
      </c>
      <c r="H5" s="27">
        <f t="shared" ref="H5:AT5" si="0">SUM(H13:H641)</f>
        <v>23553.4</v>
      </c>
      <c r="I5" s="27">
        <f t="shared" si="0"/>
        <v>23553.4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23553.4</v>
      </c>
      <c r="BA5" s="29">
        <f t="shared" si="1"/>
        <v>23553.4</v>
      </c>
      <c r="BB5" s="29">
        <f t="shared" si="1"/>
        <v>23553.4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23553.4</v>
      </c>
      <c r="F6" s="27" t="s">
        <v>1</v>
      </c>
      <c r="G6" s="27" t="s">
        <v>2</v>
      </c>
      <c r="H6" s="33">
        <f>SUMIF(I$12:AB$12,"总值",I6:AB6)</f>
        <v>23553.4</v>
      </c>
      <c r="I6" s="27">
        <f t="shared" ref="I6:AB6" si="2">ROUND($A$3*I5/$B$3,2)</f>
        <v>23553.4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23553.4</v>
      </c>
      <c r="AZ6" s="27" t="s">
        <v>3</v>
      </c>
      <c r="BA6" s="27">
        <f>ROUND($AY$6*BA5/$AZ$5,2)</f>
        <v>23553.4</v>
      </c>
      <c r="BB6" s="27">
        <f>ROUND($AY$6*BB5/$AZ$5,2)</f>
        <v>23553.4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3007</v>
      </c>
      <c r="J9" s="51"/>
      <c r="K9" s="2729"/>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914</v>
      </c>
      <c r="J10" s="51"/>
      <c r="K10" s="2731"/>
      <c r="L10" s="51"/>
      <c r="M10" s="2731"/>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c r="J11" s="71"/>
      <c r="K11" s="2730"/>
      <c r="L11" s="71"/>
      <c r="M11" s="70"/>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3006</v>
      </c>
      <c r="E13" s="27">
        <f t="shared" ref="E13:E20" si="6">IF($C$3="是",ROUND($A$3*G13/$B$3,2),ROUND($A$3*(G13-AT13)/$B$3,2))</f>
        <v>23553.4</v>
      </c>
      <c r="F13" s="81"/>
      <c r="G13" s="82">
        <f t="shared" ref="G13:G20" si="7">H13+AC13+AT13</f>
        <v>23553.4</v>
      </c>
      <c r="H13" s="33">
        <f t="shared" ref="H13:H20" si="8">SUMIF(I$12:AB$12,"总值",I13:AB13)</f>
        <v>23553.4</v>
      </c>
      <c r="I13" s="2728">
        <f>A3*1</f>
        <v>23553.4</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23553.4</v>
      </c>
      <c r="AZ13" s="27">
        <f t="shared" ref="AZ13:AZ20" si="12">BA13+BL13</f>
        <v>23553.4</v>
      </c>
      <c r="BA13" s="27">
        <f t="shared" ref="BA13:BA20" si="13">SUM(BB13:BK13)</f>
        <v>23553.4</v>
      </c>
      <c r="BB13" s="27">
        <f t="shared" ref="BB13:BB20" si="14">IF($D13="是",I13-J13,0)</f>
        <v>23553.4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8" t="s">
        <v>0</v>
      </c>
      <c r="B1" s="3398" t="s">
        <v>4</v>
      </c>
      <c r="C1" s="3398" t="s">
        <v>5</v>
      </c>
      <c r="D1" s="3399" t="s">
        <v>40</v>
      </c>
      <c r="E1" s="3399" t="s">
        <v>41</v>
      </c>
      <c r="F1" s="3399"/>
      <c r="G1" s="3399"/>
      <c r="H1" s="3399"/>
      <c r="I1" s="3399"/>
      <c r="J1" s="3399"/>
      <c r="K1" s="3399"/>
      <c r="L1" s="3399"/>
      <c r="M1" s="3399"/>
    </row>
    <row r="2" spans="1:13" ht="27" customHeight="1">
      <c r="A2" s="3398"/>
      <c r="B2" s="3398"/>
      <c r="C2" s="3398"/>
      <c r="D2" s="3399"/>
      <c r="E2" s="3399" t="s">
        <v>24</v>
      </c>
      <c r="F2" s="3399" t="s">
        <v>25</v>
      </c>
      <c r="G2" s="3399"/>
      <c r="H2" s="3399"/>
      <c r="I2" s="3399"/>
      <c r="J2" s="3399" t="s">
        <v>26</v>
      </c>
      <c r="K2" s="3399"/>
      <c r="L2" s="3399"/>
      <c r="M2" s="3399"/>
    </row>
    <row r="3" spans="1:13" ht="28.5">
      <c r="A3" s="3398"/>
      <c r="B3" s="3398"/>
      <c r="C3" s="3398"/>
      <c r="D3" s="3399"/>
      <c r="E3" s="33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9" t="s">
        <v>42</v>
      </c>
      <c r="B9" s="3399"/>
      <c r="C9" s="33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41" sqref="F4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09" t="s">
        <v>203</v>
      </c>
      <c r="B2" s="3409"/>
      <c r="C2" s="3409"/>
      <c r="D2" s="1888" t="s">
        <v>204</v>
      </c>
      <c r="E2" s="106" t="s">
        <v>205</v>
      </c>
      <c r="F2" s="3080"/>
      <c r="G2" s="1180"/>
      <c r="H2" s="1181"/>
      <c r="I2" s="1182" t="s">
        <v>849</v>
      </c>
      <c r="J2" s="3080"/>
      <c r="K2" s="3080"/>
      <c r="L2" s="3080"/>
      <c r="M2" s="3080"/>
      <c r="N2" s="3080"/>
      <c r="O2" s="3080"/>
      <c r="P2" s="3080"/>
    </row>
    <row r="3" spans="1:16" ht="15.75" thickBot="1">
      <c r="A3" s="3410" t="s">
        <v>206</v>
      </c>
      <c r="B3" s="3410"/>
      <c r="C3" s="3410"/>
      <c r="D3" s="107">
        <f>'数据-基础表'!AY6</f>
        <v>23553.4</v>
      </c>
      <c r="E3" s="107">
        <f>'数据-基础表'!AZ5</f>
        <v>23553.4</v>
      </c>
      <c r="F3" s="3080"/>
      <c r="G3" s="278" t="s">
        <v>850</v>
      </c>
      <c r="H3" s="273" t="s">
        <v>851</v>
      </c>
      <c r="I3" s="1889">
        <f>ROUND('数据-基础表'!B3/'数据-基础表'!A3,2)</f>
        <v>1</v>
      </c>
      <c r="J3" s="3080"/>
      <c r="K3" s="3080"/>
      <c r="L3" s="3080"/>
      <c r="M3" s="3080"/>
      <c r="N3" s="3080"/>
      <c r="O3" s="3080"/>
      <c r="P3" s="3080"/>
    </row>
    <row r="4" spans="1:16" ht="15">
      <c r="A4" s="3411"/>
      <c r="B4" s="3412"/>
      <c r="C4" s="3413"/>
      <c r="D4" s="108" t="s">
        <v>204</v>
      </c>
      <c r="E4" s="109" t="s">
        <v>205</v>
      </c>
      <c r="F4" s="3080"/>
      <c r="G4" s="1183"/>
      <c r="H4" s="273" t="s">
        <v>852</v>
      </c>
      <c r="I4" s="1889">
        <f>ROUND(SUMIF('数据-基础表'!I9:AS9,"地上",'数据-基础表'!I5:AS5)/'数据-基础表'!A3,2)</f>
        <v>1</v>
      </c>
      <c r="J4" s="3080"/>
      <c r="K4" s="3080"/>
      <c r="L4" s="3080"/>
      <c r="M4" s="3080"/>
      <c r="N4" s="3080"/>
      <c r="O4" s="3080"/>
      <c r="P4" s="3080"/>
    </row>
    <row r="5" spans="1:16">
      <c r="A5" s="110" t="s">
        <v>207</v>
      </c>
      <c r="B5" s="3414" t="s">
        <v>230</v>
      </c>
      <c r="C5" s="3414"/>
      <c r="D5" s="111">
        <f>ROUND($D$3*E5/$E$3,2)</f>
        <v>23553.4</v>
      </c>
      <c r="E5" s="112">
        <f>SUMIF('数据-基础表'!$11:$11,"住宅",'数据-基础表'!$5:$5)</f>
        <v>23553.4</v>
      </c>
      <c r="F5" s="3080"/>
      <c r="G5" s="278" t="s">
        <v>853</v>
      </c>
      <c r="H5" s="273" t="s">
        <v>851</v>
      </c>
      <c r="I5" s="1889">
        <f>ROUND(E31/D31,2)</f>
        <v>1</v>
      </c>
      <c r="J5" s="3080"/>
      <c r="K5" s="3080"/>
      <c r="L5" s="3080"/>
      <c r="M5" s="3080"/>
      <c r="N5" s="3080"/>
      <c r="O5" s="3080"/>
      <c r="P5" s="3080"/>
    </row>
    <row r="6" spans="1:16" ht="15" thickBot="1">
      <c r="A6" s="113"/>
      <c r="B6" s="3414" t="s">
        <v>208</v>
      </c>
      <c r="C6" s="3414"/>
      <c r="D6" s="111">
        <f>ROUND($D$3*E6/$E$3,2)</f>
        <v>0</v>
      </c>
      <c r="E6" s="112">
        <f>E3-E5</f>
        <v>0</v>
      </c>
      <c r="F6" s="3080"/>
      <c r="G6" s="1183"/>
      <c r="H6" s="273" t="s">
        <v>852</v>
      </c>
      <c r="I6" s="1889">
        <f>ROUND(F31/D31,2)</f>
        <v>1</v>
      </c>
      <c r="J6" s="3080"/>
      <c r="K6" s="3080"/>
      <c r="L6" s="3080"/>
      <c r="M6" s="3080"/>
      <c r="N6" s="3080"/>
      <c r="O6" s="3080"/>
      <c r="P6" s="3080"/>
    </row>
    <row r="7" spans="1:16" ht="15">
      <c r="A7" s="3406"/>
      <c r="B7" s="3407"/>
      <c r="C7" s="3408"/>
      <c r="D7" s="108" t="s">
        <v>204</v>
      </c>
      <c r="E7" s="114" t="s">
        <v>231</v>
      </c>
      <c r="F7" s="3080"/>
      <c r="G7" s="1138" t="s">
        <v>1636</v>
      </c>
      <c r="H7" s="1139"/>
      <c r="I7" s="1759">
        <v>4</v>
      </c>
      <c r="J7" s="3080"/>
      <c r="K7" s="3080"/>
      <c r="L7" s="3080"/>
      <c r="M7" s="3080"/>
      <c r="N7" s="3080"/>
      <c r="O7" s="3080"/>
      <c r="P7" s="3080"/>
    </row>
    <row r="8" spans="1:16">
      <c r="A8" s="110" t="s">
        <v>209</v>
      </c>
      <c r="B8" s="115" t="s">
        <v>210</v>
      </c>
      <c r="C8" s="111" t="s">
        <v>211</v>
      </c>
      <c r="D8" s="111">
        <f t="shared" ref="D8:D15" si="0">ROUND($D$3*E8/$E$3,2)</f>
        <v>23553.4</v>
      </c>
      <c r="E8" s="116">
        <f>SUMIF('数据-基础表'!BB10:BK10,"地上",'数据-基础表'!BB5:BK5)</f>
        <v>23553.4</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10" t="s">
        <v>2315</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10" t="s">
        <v>2322</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23553.4</v>
      </c>
      <c r="E16" s="120">
        <f>SUM(E8:E15)</f>
        <v>23553.4</v>
      </c>
      <c r="F16" s="3080"/>
      <c r="G16" s="3081"/>
      <c r="H16" s="955" t="s">
        <v>219</v>
      </c>
      <c r="I16" s="956"/>
      <c r="J16" s="1897"/>
      <c r="K16" s="3400" t="s">
        <v>2547</v>
      </c>
      <c r="L16" s="3401"/>
      <c r="M16" s="3401"/>
      <c r="N16" s="3401"/>
      <c r="O16" s="3401"/>
      <c r="P16" s="3402"/>
    </row>
    <row r="17" spans="1:19" ht="15">
      <c r="A17" s="121" t="s">
        <v>216</v>
      </c>
      <c r="B17" s="122" t="s">
        <v>217</v>
      </c>
      <c r="C17" s="2177" t="s">
        <v>2301</v>
      </c>
      <c r="D17" s="108" t="s">
        <v>204</v>
      </c>
      <c r="E17" s="124" t="s">
        <v>205</v>
      </c>
      <c r="F17" s="125"/>
      <c r="G17" s="1318"/>
      <c r="H17" s="957" t="s">
        <v>218</v>
      </c>
      <c r="I17" s="958" t="s">
        <v>2300</v>
      </c>
      <c r="J17" s="1897"/>
      <c r="K17" s="3403" t="s">
        <v>2548</v>
      </c>
      <c r="L17" s="3404"/>
      <c r="M17" s="3405"/>
      <c r="N17" s="3403" t="s">
        <v>2549</v>
      </c>
      <c r="O17" s="3404"/>
      <c r="P17" s="3405"/>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5" t="s">
        <v>3008</v>
      </c>
      <c r="D19" s="111">
        <f t="shared" ref="D19:D26" si="1">ROUND($D$3*E19/$E$3,2)</f>
        <v>23553.4</v>
      </c>
      <c r="E19" s="134">
        <f t="shared" ref="E19:E26" si="2">SUM(F19:G19)</f>
        <v>23553.4</v>
      </c>
      <c r="F19" s="3082">
        <f>'数据-基础表'!I13</f>
        <v>23553.4</v>
      </c>
      <c r="G19" s="3083"/>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23553.4</v>
      </c>
      <c r="S19" s="2180">
        <f t="shared" si="5"/>
        <v>23553.4</v>
      </c>
    </row>
    <row r="20" spans="1:19">
      <c r="A20" s="137"/>
      <c r="B20" s="115" t="s">
        <v>226</v>
      </c>
      <c r="C20" s="2735"/>
      <c r="D20" s="111">
        <f t="shared" si="1"/>
        <v>0</v>
      </c>
      <c r="E20" s="134">
        <f t="shared" si="2"/>
        <v>0</v>
      </c>
      <c r="F20" s="3082"/>
      <c r="G20" s="3083"/>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5"/>
      <c r="D21" s="111">
        <f t="shared" si="1"/>
        <v>0</v>
      </c>
      <c r="E21" s="134">
        <f t="shared" si="2"/>
        <v>0</v>
      </c>
      <c r="F21" s="3082"/>
      <c r="G21" s="3083"/>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4"/>
      <c r="G22" s="3085"/>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4"/>
      <c r="G23" s="3085"/>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4"/>
      <c r="G24" s="3085"/>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4"/>
      <c r="G25" s="3085"/>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4"/>
      <c r="G26" s="3085"/>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23553.4</v>
      </c>
      <c r="E27" s="141">
        <f>IF(SUM(E19:E26)='数据-基础表'!BA5,SUM(E19:E26),IF(F27="地上面积有误","面积有误","地下面积有误"))</f>
        <v>23553.4</v>
      </c>
      <c r="F27" s="134">
        <f>IF(SUM(F19:F26)=E8,SUM(F19:F26),"地上面积有误")</f>
        <v>23553.4</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23553.4</v>
      </c>
      <c r="S27" s="273">
        <f>IF(SUM(S19:S26)=$E$3,SUM(S19:S26),SUM(S19:S26)&amp;"误差"&amp;ROUND(SUM(S19:S26)-E3,2))</f>
        <v>23553.4</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2" t="s">
        <v>2308</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9" t="s">
        <v>2310</v>
      </c>
      <c r="D31" s="1322">
        <f>D27+D30</f>
        <v>23553.4</v>
      </c>
      <c r="E31" s="1322">
        <f>E27+E30</f>
        <v>23553.4</v>
      </c>
      <c r="F31" s="1323">
        <f>F27+F30</f>
        <v>23553.4</v>
      </c>
      <c r="G31" s="1324">
        <f>G27+G30</f>
        <v>0</v>
      </c>
      <c r="H31" s="3080"/>
      <c r="I31" s="3080"/>
      <c r="J31" s="3080"/>
      <c r="K31" s="3080"/>
      <c r="L31" s="3080"/>
      <c r="M31" s="3080"/>
      <c r="N31" s="3080"/>
      <c r="O31" s="3080"/>
      <c r="P31" s="3080"/>
    </row>
    <row r="32" spans="1:19">
      <c r="A32" s="1897"/>
      <c r="B32" s="2221" t="s">
        <v>2309</v>
      </c>
      <c r="C32" s="2488"/>
      <c r="D32" s="1183"/>
      <c r="E32" s="1183">
        <f>SUMIF(C19:C26,"*住宅*",E19:E26)</f>
        <v>23553.4</v>
      </c>
      <c r="F32" s="1183"/>
      <c r="G32" s="1183"/>
      <c r="H32" s="3080"/>
      <c r="I32" s="3080"/>
      <c r="J32" s="3080"/>
      <c r="K32" s="3080"/>
      <c r="L32" s="3080"/>
      <c r="M32" s="3080"/>
      <c r="N32" s="3080"/>
      <c r="O32" s="3080"/>
      <c r="P32" s="3080"/>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I27" activePane="bottomRight" state="frozen"/>
      <selection pane="topRight" activeCell="D1" sqref="D1"/>
      <selection pane="bottomLeft" activeCell="A4" sqref="A4"/>
      <selection pane="bottomRight" activeCell="L51" sqref="L51"/>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7"/>
      <c r="AO1" s="3087"/>
      <c r="AP1" s="3087"/>
      <c r="AQ1" s="3087"/>
      <c r="AR1" s="3087"/>
      <c r="AS1" s="3087"/>
      <c r="AT1" s="3087"/>
      <c r="AU1" s="3087"/>
      <c r="AV1" s="3087"/>
      <c r="AW1" s="3087"/>
      <c r="AX1" s="3087"/>
      <c r="AY1" s="3087"/>
      <c r="AZ1" s="3087"/>
    </row>
    <row r="2" spans="1:83" s="1188" customFormat="1" ht="15.75" thickBot="1">
      <c r="A2" s="147" t="s">
        <v>235</v>
      </c>
      <c r="B2" s="2217">
        <f>项目基本情况!D3</f>
        <v>44315</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0"/>
      <c r="AO2" s="3090"/>
      <c r="AP2" s="3090"/>
      <c r="AQ2" s="3090"/>
      <c r="AR2" s="3090"/>
      <c r="AS2" s="3090"/>
      <c r="AT2" s="3090"/>
      <c r="AU2" s="3090"/>
      <c r="AV2" s="3090"/>
      <c r="AW2" s="3090"/>
      <c r="AX2" s="3090"/>
      <c r="AY2" s="3090"/>
      <c r="AZ2" s="3090"/>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0"/>
      <c r="AO3" s="3090"/>
      <c r="AP3" s="3090"/>
      <c r="AQ3" s="3090"/>
      <c r="AR3" s="3090"/>
      <c r="AS3" s="3090"/>
      <c r="AT3" s="3090"/>
      <c r="AU3" s="3090"/>
      <c r="AV3" s="3090"/>
      <c r="AW3" s="3090"/>
      <c r="AX3" s="3090"/>
      <c r="AY3" s="3090"/>
      <c r="AZ3" s="3090"/>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1"/>
      <c r="AP5" s="3086" t="s">
        <v>2971</v>
      </c>
      <c r="AQ5" s="3101"/>
      <c r="AR5" s="3101"/>
      <c r="AS5" s="3101"/>
      <c r="AT5" s="3101"/>
      <c r="AU5" s="3101"/>
      <c r="AV5" s="3101"/>
      <c r="AW5" s="3101"/>
      <c r="AX5" s="3101"/>
      <c r="AY5" s="3101"/>
      <c r="AZ5" s="3101"/>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3284" t="s">
        <v>3009</v>
      </c>
      <c r="D6" s="2187">
        <f>SUMIF(项目基本情况!D$15:I$15,C6,项目基本情况!D$18:I$18)</f>
        <v>70</v>
      </c>
      <c r="E6" s="2188">
        <f>IF(B6="","",SUMIF(项目基本情况!D$15:I$15,C6,项目基本情况!D$17:I$17))</f>
        <v>65042</v>
      </c>
      <c r="F6" s="172">
        <f>SUMIF(项目基本情况!D$15:I$15,C6,项目基本情况!D$19:I$19)</f>
        <v>56.78</v>
      </c>
      <c r="G6" s="173">
        <f>IF(ISERROR(ROUND(POWER(1+H6,D6-F6)*(POWER(1+H6,F6)-1)/(POWER(1+H6,D6)-1),3)),0,ROUND(POWER(1+H6,D6-F6)*(POWER(1+H6,F6)-1)/(POWER(1+H6,D6)-1),3))</f>
        <v>0.96199999999999997</v>
      </c>
      <c r="H6" s="2736">
        <v>4.4999999999999998E-2</v>
      </c>
      <c r="I6" s="2736">
        <v>0.05</v>
      </c>
      <c r="J6" s="174">
        <v>8.5000000000000006E-2</v>
      </c>
      <c r="K6" s="177">
        <f>SUMIF('数据-汇总表'!C$19:C$33,'数据-取费表'!A6,'数据-汇总表'!E$19:E$33)</f>
        <v>23553.4</v>
      </c>
      <c r="L6" s="2737">
        <v>3200</v>
      </c>
      <c r="M6" s="175">
        <f t="shared" ref="M6:M14" si="0">ROUND(K6*L6/10000,0)</f>
        <v>7537</v>
      </c>
      <c r="N6" s="2738">
        <v>0</v>
      </c>
      <c r="O6" s="175">
        <f>IF($N$5="成新度","——",ROUND(M6*N6,0))</f>
        <v>0</v>
      </c>
      <c r="P6" s="176">
        <f>IF($N$5="成新度","——",M6-O6)</f>
        <v>7537</v>
      </c>
      <c r="Q6" s="2739">
        <v>0.2</v>
      </c>
      <c r="R6" s="177">
        <f>SUMIF('数据-汇总表'!C$19:C$33,A6,'数据-汇总表'!R$19:R$33)</f>
        <v>23553.4</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0">
        <v>0.02</v>
      </c>
      <c r="AN6" s="2246"/>
      <c r="AO6" s="3090"/>
      <c r="AP6" s="1186">
        <f>ROUND(1-1/(1+H6)^F6,3)</f>
        <v>0.91800000000000004</v>
      </c>
      <c r="AQ6" s="3090"/>
      <c r="AR6" s="3090"/>
      <c r="AS6" s="3090"/>
      <c r="AT6" s="3090"/>
      <c r="AU6" s="3090"/>
      <c r="AV6" s="3090"/>
      <c r="AW6" s="3090"/>
      <c r="AX6" s="3090"/>
      <c r="AY6" s="3090"/>
      <c r="AZ6" s="3090"/>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f t="shared" ref="O7:O14" si="3">IF($N$5="成新度","——",ROUND(M7*N7,0))</f>
        <v>0</v>
      </c>
      <c r="P7" s="176">
        <f t="shared" ref="P7:P14" si="4">IF($N$5="成新度","——",M7-O7)</f>
        <v>0</v>
      </c>
      <c r="Q7" s="2739"/>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0"/>
      <c r="AP7" s="1186">
        <f t="shared" ref="AP7:AP13" si="8">ROUND(1-1/(1+H7)^F7,3)</f>
        <v>0</v>
      </c>
      <c r="AQ7" s="3090"/>
      <c r="AR7" s="3090"/>
      <c r="AS7" s="3090"/>
      <c r="AT7" s="3090"/>
      <c r="AU7" s="3090"/>
      <c r="AV7" s="3090"/>
      <c r="AW7" s="3090"/>
      <c r="AX7" s="3090"/>
      <c r="AY7" s="3090"/>
      <c r="AZ7" s="3090"/>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0"/>
      <c r="AP8" s="1186">
        <f t="shared" si="8"/>
        <v>0</v>
      </c>
      <c r="AQ8" s="3090"/>
      <c r="AR8" s="3090"/>
      <c r="AS8" s="3090"/>
      <c r="AT8" s="3090"/>
      <c r="AU8" s="3090"/>
      <c r="AV8" s="3090"/>
      <c r="AW8" s="3090"/>
      <c r="AX8" s="3090"/>
      <c r="AY8" s="3090"/>
      <c r="AZ8" s="3090"/>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0"/>
      <c r="AP9" s="1186">
        <f t="shared" si="8"/>
        <v>0</v>
      </c>
      <c r="AQ9" s="3090"/>
      <c r="AR9" s="3090"/>
      <c r="AS9" s="3090"/>
      <c r="AT9" s="3090"/>
      <c r="AU9" s="3090"/>
      <c r="AV9" s="3090"/>
      <c r="AW9" s="3090"/>
      <c r="AX9" s="3090"/>
      <c r="AY9" s="3090"/>
      <c r="AZ9" s="3090"/>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0"/>
      <c r="AP10" s="1186">
        <f t="shared" si="8"/>
        <v>0</v>
      </c>
      <c r="AQ10" s="3090"/>
      <c r="AR10" s="3090"/>
      <c r="AS10" s="3090"/>
      <c r="AT10" s="3090"/>
      <c r="AU10" s="3090"/>
      <c r="AV10" s="3090"/>
      <c r="AW10" s="3090"/>
      <c r="AX10" s="3090"/>
      <c r="AY10" s="3090"/>
      <c r="AZ10" s="3090"/>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0"/>
      <c r="AP11" s="1186">
        <f t="shared" si="8"/>
        <v>0</v>
      </c>
      <c r="AQ11" s="3090"/>
      <c r="AR11" s="3090"/>
      <c r="AS11" s="3090"/>
      <c r="AT11" s="3090"/>
      <c r="AU11" s="3090"/>
      <c r="AV11" s="3090"/>
      <c r="AW11" s="3090"/>
      <c r="AX11" s="3090"/>
      <c r="AY11" s="3090"/>
      <c r="AZ11" s="3090"/>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0"/>
      <c r="AP12" s="1186">
        <f t="shared" si="8"/>
        <v>0</v>
      </c>
      <c r="AQ12" s="3090"/>
      <c r="AR12" s="3090"/>
      <c r="AS12" s="3090"/>
      <c r="AT12" s="3090"/>
      <c r="AU12" s="3090"/>
      <c r="AV12" s="3090"/>
      <c r="AW12" s="3090"/>
      <c r="AX12" s="3090"/>
      <c r="AY12" s="3090"/>
      <c r="AZ12" s="3090"/>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0"/>
      <c r="AP13" s="1186">
        <f t="shared" si="8"/>
        <v>0</v>
      </c>
      <c r="AQ13" s="3090"/>
      <c r="AR13" s="3090"/>
      <c r="AS13" s="3090"/>
      <c r="AT13" s="3090"/>
      <c r="AU13" s="3090"/>
      <c r="AV13" s="3090"/>
      <c r="AW13" s="3090"/>
      <c r="AX13" s="3090"/>
      <c r="AY13" s="3090"/>
      <c r="AZ13" s="3090"/>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0"/>
      <c r="AO14" s="3090"/>
      <c r="AP14" s="3090"/>
      <c r="AQ14" s="3090"/>
      <c r="AR14" s="3090"/>
      <c r="AS14" s="3090"/>
      <c r="AT14" s="3090"/>
      <c r="AU14" s="3090"/>
      <c r="AV14" s="3090"/>
      <c r="AW14" s="3090"/>
      <c r="AX14" s="3090"/>
      <c r="AY14" s="3090"/>
      <c r="AZ14" s="3090"/>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0"/>
      <c r="AO15" s="3090"/>
      <c r="AP15" s="3090"/>
      <c r="AQ15" s="3090"/>
      <c r="AR15" s="3090"/>
      <c r="AS15" s="3090"/>
      <c r="AT15" s="3090"/>
      <c r="AU15" s="3090"/>
      <c r="AV15" s="3090"/>
      <c r="AW15" s="3090"/>
      <c r="AX15" s="3090"/>
      <c r="AY15" s="3090"/>
      <c r="AZ15" s="3090"/>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0.96199999999999997</v>
      </c>
      <c r="H16" s="201">
        <f>ROUND(SUMPRODUCT(H6:H13,K6:K13)/SUMPRODUCT((H6:H13&gt;0)*(K6:K13)),3)</f>
        <v>4.4999999999999998E-2</v>
      </c>
      <c r="I16" s="202"/>
      <c r="J16" s="202"/>
      <c r="K16" s="203">
        <f>SUM(K6:K15)</f>
        <v>23553.4</v>
      </c>
      <c r="L16" s="204">
        <f>ROUND(M16*10000/SUM(K6:K14),0)</f>
        <v>3200</v>
      </c>
      <c r="M16" s="204">
        <f>SUM(M6:M14)</f>
        <v>7537</v>
      </c>
      <c r="N16" s="205">
        <f>ROUND(SUMPRODUCT(M6:M14,N6:N14)/M16,3)</f>
        <v>0</v>
      </c>
      <c r="O16" s="204">
        <f>SUM(O6:O14)</f>
        <v>0</v>
      </c>
      <c r="P16" s="204">
        <f>SUM(P6:P14)</f>
        <v>7537</v>
      </c>
      <c r="Q16" s="206">
        <f>ROUND(SUMPRODUCT(Q6:Q13,K6:K13)/SUMPRODUCT((Q6:Q13&gt;0)*(K6:K13)),2)</f>
        <v>0.2</v>
      </c>
      <c r="R16" s="2190">
        <f>SUM(R6:R13)</f>
        <v>23553.4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0.91800000000000004</v>
      </c>
      <c r="AQ16" s="3090"/>
      <c r="AR16" s="3090"/>
      <c r="AS16" s="3090"/>
      <c r="AT16" s="3090"/>
      <c r="AU16" s="3090"/>
      <c r="AV16" s="3090"/>
      <c r="AW16" s="3090"/>
      <c r="AX16" s="3090"/>
      <c r="AY16" s="3090"/>
      <c r="AZ16" s="3090"/>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2983</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2</v>
      </c>
      <c r="C20" s="3102" t="s">
        <v>2323</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f>B20*N16</f>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2</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2325</v>
      </c>
      <c r="B27" s="225">
        <v>150</v>
      </c>
      <c r="C27" s="3103" t="s">
        <v>2984</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4" t="s">
        <v>2327</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100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5" t="s">
        <v>2972</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0.03</v>
      </c>
      <c r="C34" s="3105" t="s">
        <v>2973</v>
      </c>
      <c r="D34" s="3106" t="s">
        <v>2980</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2974</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2975</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0.02</v>
      </c>
      <c r="C37" s="3105" t="s">
        <v>2976</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2976</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1" t="s">
        <v>2438</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6" t="s">
        <v>3187</v>
      </c>
      <c r="B40" s="2333">
        <f ca="1">IF(A40="利息：取LPR",存贷款利率!E2,存贷款利率!E2+C40)</f>
        <v>4.3499999999999997E-2</v>
      </c>
      <c r="C40" s="3277">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2981</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2977</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2978</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2985</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2977</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2979</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1317</v>
      </c>
      <c r="C53" s="3098" t="s">
        <v>2870</v>
      </c>
      <c r="D53" s="3109" t="s">
        <v>2982</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2871</v>
      </c>
      <c r="B54" s="184">
        <v>15</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2872</v>
      </c>
      <c r="B55" s="184">
        <v>10</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2873</v>
      </c>
      <c r="B56" s="184">
        <v>5</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2874</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2875</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2876</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2877</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2878</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2879</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2880</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D19" sqref="D19"/>
    </sheetView>
  </sheetViews>
  <sheetFormatPr defaultColWidth="9" defaultRowHeight="13.5"/>
  <cols>
    <col min="1" max="1" width="9.5" style="3121"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1"/>
  </cols>
  <sheetData>
    <row r="1" spans="1:18" s="3115" customFormat="1" ht="19.5" thickBot="1">
      <c r="A1" s="3415" t="s">
        <v>1654</v>
      </c>
      <c r="B1" s="3416"/>
      <c r="C1" s="3416"/>
      <c r="D1" s="3416"/>
      <c r="E1" s="3416"/>
      <c r="F1" s="3416"/>
      <c r="G1" s="3416"/>
      <c r="H1" s="3110"/>
      <c r="I1" s="3111"/>
      <c r="J1" s="3112"/>
      <c r="K1" s="3110"/>
      <c r="L1" s="3111"/>
      <c r="M1" s="3112"/>
      <c r="N1" s="3110"/>
      <c r="O1" s="3111"/>
      <c r="P1" s="3112"/>
      <c r="Q1" s="3113"/>
      <c r="R1" s="3114"/>
    </row>
    <row r="2" spans="1:18" ht="14.25" thickBot="1">
      <c r="A2" s="3116"/>
      <c r="B2" s="3117"/>
      <c r="C2" s="3118" t="s">
        <v>1655</v>
      </c>
      <c r="D2" s="3119"/>
      <c r="E2" s="3116"/>
      <c r="F2" s="3120"/>
      <c r="G2" s="3118" t="s">
        <v>1656</v>
      </c>
      <c r="H2" s="3121"/>
      <c r="I2" s="3121"/>
      <c r="J2" s="3121"/>
      <c r="K2" s="3121"/>
      <c r="L2" s="3121"/>
      <c r="M2" s="3121"/>
      <c r="N2" s="3121"/>
      <c r="O2" s="3121"/>
      <c r="P2" s="3121"/>
      <c r="Q2" s="3121"/>
      <c r="R2" s="3121"/>
    </row>
    <row r="3" spans="1:18" ht="28.5">
      <c r="A3" s="3122" t="s">
        <v>1657</v>
      </c>
      <c r="B3" s="3123" t="s">
        <v>1644</v>
      </c>
      <c r="C3" s="3308" t="s">
        <v>3198</v>
      </c>
      <c r="D3" s="3124"/>
      <c r="E3" s="3125" t="s">
        <v>1657</v>
      </c>
      <c r="F3" s="3126" t="s">
        <v>1645</v>
      </c>
      <c r="G3" s="3127" t="s">
        <v>2885</v>
      </c>
      <c r="H3" s="3121"/>
      <c r="I3" s="3121"/>
      <c r="J3" s="3121"/>
      <c r="K3" s="3121"/>
      <c r="L3" s="3121"/>
      <c r="M3" s="3121"/>
      <c r="N3" s="3121"/>
      <c r="O3" s="3121"/>
      <c r="P3" s="3121"/>
      <c r="Q3" s="3121"/>
      <c r="R3" s="3121"/>
    </row>
    <row r="4" spans="1:18" ht="40.5">
      <c r="A4" s="3125"/>
      <c r="B4" s="3128" t="s">
        <v>1658</v>
      </c>
      <c r="C4" s="3129" t="s">
        <v>2886</v>
      </c>
      <c r="D4" s="3124"/>
      <c r="E4" s="3130"/>
      <c r="F4" s="3131" t="s">
        <v>1659</v>
      </c>
      <c r="G4" s="3132" t="s">
        <v>2882</v>
      </c>
      <c r="H4" s="3121"/>
      <c r="I4" s="3121"/>
      <c r="J4" s="3121"/>
      <c r="K4" s="3121"/>
      <c r="L4" s="3121"/>
      <c r="M4" s="3121"/>
      <c r="N4" s="3121"/>
      <c r="O4" s="3121"/>
      <c r="P4" s="3121"/>
      <c r="Q4" s="3121"/>
      <c r="R4" s="3121"/>
    </row>
    <row r="5" spans="1:18" ht="41.25">
      <c r="A5" s="3125"/>
      <c r="B5" s="3128" t="s">
        <v>1660</v>
      </c>
      <c r="C5" s="3129" t="s">
        <v>2887</v>
      </c>
      <c r="D5" s="3124"/>
      <c r="E5" s="3130"/>
      <c r="F5" s="3128" t="s">
        <v>2527</v>
      </c>
      <c r="G5" s="3132" t="s">
        <v>2883</v>
      </c>
      <c r="H5" s="3121"/>
      <c r="I5" s="3121"/>
      <c r="J5" s="3121"/>
      <c r="K5" s="3121"/>
      <c r="L5" s="3121"/>
      <c r="M5" s="3121"/>
      <c r="N5" s="3121"/>
      <c r="O5" s="3121"/>
      <c r="P5" s="3121"/>
      <c r="Q5" s="3121"/>
      <c r="R5" s="3121"/>
    </row>
    <row r="6" spans="1:18">
      <c r="A6" s="3125"/>
      <c r="B6" s="3128" t="s">
        <v>1646</v>
      </c>
      <c r="C6" s="3309" t="s">
        <v>3199</v>
      </c>
      <c r="D6" s="3124"/>
      <c r="E6" s="3130"/>
      <c r="F6" s="3128" t="s">
        <v>2528</v>
      </c>
      <c r="G6" s="3132" t="s">
        <v>2881</v>
      </c>
      <c r="H6" s="3121"/>
      <c r="I6" s="3121"/>
      <c r="J6" s="3121"/>
      <c r="K6" s="3121"/>
      <c r="L6" s="3121"/>
      <c r="M6" s="3121"/>
      <c r="N6" s="3121"/>
      <c r="O6" s="3121"/>
      <c r="P6" s="3121"/>
      <c r="Q6" s="3121"/>
      <c r="R6" s="3121"/>
    </row>
    <row r="7" spans="1:18" ht="27.75" thickBot="1">
      <c r="A7" s="3125"/>
      <c r="B7" s="3128" t="s">
        <v>2527</v>
      </c>
      <c r="C7" s="3309" t="s">
        <v>3199</v>
      </c>
      <c r="D7" s="3133"/>
      <c r="E7" s="3134"/>
      <c r="F7" s="3135" t="s">
        <v>1661</v>
      </c>
      <c r="G7" s="3136" t="s">
        <v>2884</v>
      </c>
      <c r="H7" s="3121"/>
      <c r="I7" s="3121"/>
      <c r="J7" s="3121"/>
      <c r="K7" s="3121"/>
      <c r="L7" s="3121"/>
      <c r="M7" s="3121"/>
      <c r="N7" s="3121"/>
      <c r="O7" s="3121"/>
      <c r="P7" s="3121"/>
      <c r="Q7" s="3121"/>
      <c r="R7" s="3121"/>
    </row>
    <row r="8" spans="1:18">
      <c r="A8" s="3125"/>
      <c r="B8" s="3128" t="s">
        <v>2528</v>
      </c>
      <c r="C8" s="3309" t="s">
        <v>3200</v>
      </c>
      <c r="D8" s="3133"/>
      <c r="E8" s="3133"/>
      <c r="F8" s="3137"/>
      <c r="G8" s="3137"/>
      <c r="H8" s="3121"/>
      <c r="I8" s="3121"/>
      <c r="J8" s="3121"/>
      <c r="K8" s="3121"/>
      <c r="L8" s="3121"/>
      <c r="M8" s="3121"/>
      <c r="N8" s="3121"/>
      <c r="O8" s="3121"/>
      <c r="P8" s="3121"/>
      <c r="Q8" s="3121"/>
      <c r="R8" s="3121"/>
    </row>
    <row r="9" spans="1:18">
      <c r="A9" s="3125"/>
      <c r="B9" s="3128" t="s">
        <v>1647</v>
      </c>
      <c r="C9" s="3310" t="s">
        <v>3201</v>
      </c>
      <c r="D9" s="3124"/>
      <c r="E9" s="3133"/>
      <c r="F9" s="3137"/>
      <c r="G9" s="3137"/>
      <c r="H9" s="3121"/>
      <c r="I9" s="3121"/>
      <c r="J9" s="3121"/>
      <c r="K9" s="3121"/>
      <c r="L9" s="3121"/>
      <c r="M9" s="3121"/>
      <c r="N9" s="3121"/>
      <c r="O9" s="3121"/>
      <c r="P9" s="3121"/>
      <c r="Q9" s="3121"/>
      <c r="R9" s="3121"/>
    </row>
    <row r="10" spans="1:18" s="3144" customFormat="1" ht="15" thickBot="1">
      <c r="A10" s="3138"/>
      <c r="B10" s="3139" t="s">
        <v>1662</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5" customFormat="1" ht="18.75">
      <c r="A12" s="3145"/>
      <c r="B12" s="3133"/>
      <c r="C12" s="3124"/>
      <c r="D12" s="3147"/>
      <c r="E12" s="3124"/>
      <c r="F12" s="3133"/>
      <c r="G12" s="3146"/>
      <c r="H12" s="3148"/>
      <c r="I12" s="3149"/>
      <c r="J12" s="3148"/>
      <c r="K12" s="3148"/>
      <c r="L12" s="3150"/>
      <c r="M12" s="3148"/>
      <c r="N12" s="3151"/>
      <c r="O12" s="3152"/>
      <c r="P12" s="3153"/>
      <c r="Q12" s="3151"/>
      <c r="R12" s="3114"/>
    </row>
    <row r="13" spans="1:18" ht="19.5" thickBot="1">
      <c r="A13" s="3154" t="s">
        <v>1663</v>
      </c>
      <c r="B13" s="3147"/>
      <c r="C13" s="3147"/>
      <c r="D13" s="3119"/>
      <c r="E13" s="3147"/>
      <c r="F13" s="3147"/>
      <c r="G13" s="3147"/>
    </row>
    <row r="14" spans="1:18" ht="14.25" thickBot="1">
      <c r="A14" s="3159"/>
      <c r="B14" s="3159"/>
      <c r="C14" s="3160" t="s">
        <v>1655</v>
      </c>
      <c r="D14" s="3124"/>
      <c r="E14" s="3161"/>
      <c r="F14" s="3161"/>
      <c r="G14" s="3118" t="s">
        <v>1656</v>
      </c>
    </row>
    <row r="15" spans="1:18" ht="27">
      <c r="A15" s="3162" t="s">
        <v>1648</v>
      </c>
      <c r="B15" s="3163" t="s">
        <v>1644</v>
      </c>
      <c r="C15" s="3164" t="str">
        <f>C3</f>
        <v>较好</v>
      </c>
      <c r="D15" s="3124"/>
      <c r="E15" s="3165" t="s">
        <v>1649</v>
      </c>
      <c r="F15" s="3163" t="s">
        <v>1664</v>
      </c>
      <c r="G15" s="3166" t="str">
        <f>G3</f>
        <v>估价对象位于XX开发区，园区建设成熟度XX，产业集聚程度XX</v>
      </c>
    </row>
    <row r="16" spans="1:18" ht="40.5">
      <c r="A16" s="3167"/>
      <c r="B16" s="3168" t="s">
        <v>1658</v>
      </c>
      <c r="C16" s="3169" t="str">
        <f>C4</f>
        <v>估价对象位于XX商圈，周边商业氛围成熟，人流量大，商业繁华度好</v>
      </c>
      <c r="D16" s="3124"/>
      <c r="E16" s="3170"/>
      <c r="F16" s="3171" t="s">
        <v>1659</v>
      </c>
      <c r="G16" s="3172" t="str">
        <f>G4</f>
        <v>估价对象周边道路状况、公共交通通达情况、停车便捷程度，综合评价交通便捷度较好</v>
      </c>
    </row>
    <row r="17" spans="1:7" ht="40.5">
      <c r="A17" s="3167"/>
      <c r="B17" s="3168" t="s">
        <v>1660</v>
      </c>
      <c r="C17" s="3169" t="str">
        <f>C5</f>
        <v>估价对象位于XX商圈，周边办公楼项目较多，入驻率高，办公集聚程度较好</v>
      </c>
      <c r="D17" s="3133"/>
      <c r="E17" s="3170"/>
      <c r="F17" s="3171" t="s">
        <v>1665</v>
      </c>
      <c r="G17" s="3173"/>
    </row>
    <row r="18" spans="1:7" ht="27">
      <c r="A18" s="3167"/>
      <c r="B18" s="3171" t="s">
        <v>1646</v>
      </c>
      <c r="C18" s="3172" t="str">
        <f>C6</f>
        <v>较差</v>
      </c>
      <c r="D18" s="3133"/>
      <c r="E18" s="3170"/>
      <c r="F18" s="3171" t="s">
        <v>1661</v>
      </c>
      <c r="G18" s="3172" t="str">
        <f>G7</f>
        <v>该园区内是否有污染型企业，绿化情况，卫生条件，整体环境状况判断</v>
      </c>
    </row>
    <row r="19" spans="1:7" ht="27">
      <c r="A19" s="3167"/>
      <c r="B19" s="3171" t="s">
        <v>1650</v>
      </c>
      <c r="C19" s="3311" t="s">
        <v>3202</v>
      </c>
      <c r="D19" s="3124"/>
      <c r="E19" s="3170"/>
      <c r="F19" s="3128" t="s">
        <v>2527</v>
      </c>
      <c r="G19" s="3172" t="str">
        <f>G5</f>
        <v>估价对象所在区域公共配套设施齐备情况</v>
      </c>
    </row>
    <row r="20" spans="1:7">
      <c r="A20" s="3167"/>
      <c r="B20" s="3171" t="s">
        <v>1651</v>
      </c>
      <c r="C20" s="3169" t="str">
        <f>C9</f>
        <v>一般</v>
      </c>
      <c r="D20" s="3133"/>
      <c r="E20" s="3170"/>
      <c r="F20" s="3128" t="s">
        <v>2528</v>
      </c>
      <c r="G20" s="3172" t="str">
        <f>G6</f>
        <v>估价对象所在区域基础设施水平</v>
      </c>
    </row>
    <row r="21" spans="1:7" ht="14.25">
      <c r="A21" s="3167"/>
      <c r="B21" s="3128" t="s">
        <v>2527</v>
      </c>
      <c r="C21" s="3172" t="str">
        <f>C7</f>
        <v>较差</v>
      </c>
      <c r="D21" s="3124"/>
      <c r="E21" s="3170"/>
      <c r="F21" s="3171" t="s">
        <v>1652</v>
      </c>
      <c r="G21" s="3174"/>
    </row>
    <row r="22" spans="1:7" ht="14.25">
      <c r="A22" s="3167"/>
      <c r="B22" s="3128" t="s">
        <v>2528</v>
      </c>
      <c r="C22" s="3172" t="str">
        <f>C8</f>
        <v>六通</v>
      </c>
      <c r="D22" s="3124"/>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C28" sqref="C28"/>
    </sheetView>
  </sheetViews>
  <sheetFormatPr defaultColWidth="14.625" defaultRowHeight="13.5"/>
  <cols>
    <col min="1" max="1" width="24.375" style="3183" customWidth="1"/>
    <col min="2" max="16384" width="14.625" style="3183"/>
  </cols>
  <sheetData>
    <row r="1" spans="1:10" ht="16.5">
      <c r="A1" s="3182" t="s">
        <v>2823</v>
      </c>
      <c r="B1" s="3182">
        <f>SUM(B14:B23)</f>
        <v>39955.4</v>
      </c>
      <c r="C1" s="3191"/>
      <c r="D1" s="3191"/>
      <c r="E1" s="3191"/>
      <c r="F1" s="3191"/>
      <c r="G1" s="3192"/>
      <c r="H1" s="3192"/>
      <c r="I1" s="3192"/>
      <c r="J1" s="3192"/>
    </row>
    <row r="2" spans="1:10" ht="16.5">
      <c r="A2" s="3182" t="s">
        <v>2824</v>
      </c>
      <c r="B2" s="3182">
        <f>SUM(C14:C23)</f>
        <v>39955.4</v>
      </c>
      <c r="C2" s="3191"/>
      <c r="D2" s="3191"/>
      <c r="E2" s="3191"/>
      <c r="F2" s="3191"/>
      <c r="G2" s="3192"/>
      <c r="H2" s="3192"/>
      <c r="I2" s="3192"/>
      <c r="J2" s="3192"/>
    </row>
    <row r="3" spans="1:10" ht="16.5">
      <c r="A3" s="3182" t="s">
        <v>2825</v>
      </c>
      <c r="B3" s="3184">
        <f>项目基本情况!D3</f>
        <v>44315</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56818</v>
      </c>
      <c r="C5" s="3182">
        <f ca="1">ROUND(B5*10000/$B$1,0)</f>
        <v>14220</v>
      </c>
      <c r="D5" s="3182">
        <f ca="1">ROUND(B5*10000/$B$2,0)</f>
        <v>14220</v>
      </c>
      <c r="E5" s="3191"/>
      <c r="F5" s="3191"/>
      <c r="G5" s="3192"/>
      <c r="H5" s="3192"/>
      <c r="I5" s="3192"/>
      <c r="J5" s="3192"/>
    </row>
    <row r="6" spans="1:10" ht="16.5">
      <c r="A6" s="3182" t="s">
        <v>2831</v>
      </c>
      <c r="B6" s="3182">
        <f ca="1">SUM(G14:G23)</f>
        <v>56818</v>
      </c>
      <c r="C6" s="3182">
        <f t="shared" ref="C6:C8" ca="1" si="0">ROUND(B6*10000/$B$1,0)</f>
        <v>14220</v>
      </c>
      <c r="D6" s="3182">
        <f t="shared" ref="D6:D8" ca="1" si="1">ROUND(B6*10000/$B$2,0)</f>
        <v>14220</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 ca="1">SUM(I14:I23)</f>
        <v>30603</v>
      </c>
      <c r="C8" s="3182">
        <f t="shared" ca="1" si="0"/>
        <v>7659</v>
      </c>
      <c r="D8" s="3182">
        <f t="shared" ca="1" si="1"/>
        <v>7659</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2823</v>
      </c>
      <c r="C13" s="3186" t="s">
        <v>2824</v>
      </c>
      <c r="D13" s="3186" t="s">
        <v>2836</v>
      </c>
      <c r="E13" s="3182" t="s">
        <v>2848</v>
      </c>
      <c r="F13" s="3182" t="s">
        <v>2829</v>
      </c>
      <c r="G13" s="3186" t="s">
        <v>2837</v>
      </c>
      <c r="H13" s="3186" t="s">
        <v>2838</v>
      </c>
      <c r="I13" s="3186" t="s">
        <v>2839</v>
      </c>
      <c r="J13" s="3192"/>
    </row>
    <row r="14" spans="1:10" ht="16.5">
      <c r="A14" s="3187" t="s">
        <v>3193</v>
      </c>
      <c r="B14" s="3188">
        <f>结果表!L38</f>
        <v>23553.4</v>
      </c>
      <c r="C14" s="3188">
        <f>结果表!K38</f>
        <v>23553.4</v>
      </c>
      <c r="D14" s="3188">
        <f ca="1">结果表!C42</f>
        <v>33537</v>
      </c>
      <c r="E14" s="3188">
        <f ca="1">ROUND(D14*10000/B14,0)</f>
        <v>14239</v>
      </c>
      <c r="F14" s="3188">
        <f ca="1">ROUND(D14*10000/C14,0)</f>
        <v>14239</v>
      </c>
      <c r="G14" s="3188">
        <f ca="1">结果表!C44</f>
        <v>33537</v>
      </c>
      <c r="H14" s="3188" t="str">
        <f>结果表!C45</f>
        <v>——</v>
      </c>
      <c r="I14" s="3188">
        <f ca="1">结果表!C46</f>
        <v>18063</v>
      </c>
      <c r="J14" s="3192"/>
    </row>
    <row r="15" spans="1:10" ht="16.5">
      <c r="A15" s="3187" t="s">
        <v>3194</v>
      </c>
      <c r="B15" s="3189">
        <f>[1]系统读取表!$B$14</f>
        <v>16402</v>
      </c>
      <c r="C15" s="3189">
        <f>[1]系统读取表!$C$14</f>
        <v>16402</v>
      </c>
      <c r="D15" s="3189">
        <f ca="1">[1]系统读取表!$D$14</f>
        <v>23281</v>
      </c>
      <c r="E15" s="3188">
        <f t="shared" ref="E15:E23" ca="1" si="2">ROUND(D15*10000/B15,0)</f>
        <v>14194</v>
      </c>
      <c r="F15" s="3188">
        <f t="shared" ref="F15:F23" ca="1" si="3">ROUND(D15*10000/C15,0)</f>
        <v>14194</v>
      </c>
      <c r="G15" s="2755">
        <f ca="1">[1]系统读取表!$G$14</f>
        <v>23281</v>
      </c>
      <c r="H15" s="2755"/>
      <c r="I15" s="3189">
        <f ca="1">[1]系统读取表!$I$14</f>
        <v>12540</v>
      </c>
      <c r="J15" s="3192"/>
    </row>
    <row r="16" spans="1:10" ht="16.5">
      <c r="A16" s="3187" t="s">
        <v>2840</v>
      </c>
      <c r="B16" s="3189"/>
      <c r="C16" s="3189"/>
      <c r="D16" s="3189"/>
      <c r="E16" s="3188" t="e">
        <f t="shared" si="2"/>
        <v>#DIV/0!</v>
      </c>
      <c r="F16" s="3188" t="e">
        <f t="shared" si="3"/>
        <v>#DIV/0!</v>
      </c>
      <c r="G16" s="2755"/>
      <c r="H16" s="2755"/>
      <c r="I16" s="3189"/>
      <c r="J16" s="3192"/>
    </row>
    <row r="17" spans="1:10" ht="16.5">
      <c r="A17" s="3187" t="s">
        <v>2841</v>
      </c>
      <c r="B17" s="3189"/>
      <c r="C17" s="3189"/>
      <c r="D17" s="3189"/>
      <c r="E17" s="3188" t="e">
        <f t="shared" si="2"/>
        <v>#DIV/0!</v>
      </c>
      <c r="F17" s="3188" t="e">
        <f t="shared" si="3"/>
        <v>#DIV/0!</v>
      </c>
      <c r="G17" s="2755"/>
      <c r="H17" s="2755"/>
      <c r="I17" s="3189"/>
      <c r="J17" s="3192"/>
    </row>
    <row r="18" spans="1:10" ht="16.5">
      <c r="A18" s="3187" t="s">
        <v>2842</v>
      </c>
      <c r="B18" s="3189"/>
      <c r="C18" s="3189"/>
      <c r="D18" s="3189"/>
      <c r="E18" s="3188" t="e">
        <f t="shared" si="2"/>
        <v>#DIV/0!</v>
      </c>
      <c r="F18" s="3188" t="e">
        <f t="shared" si="3"/>
        <v>#DIV/0!</v>
      </c>
      <c r="G18" s="3189"/>
      <c r="H18" s="3189"/>
      <c r="I18" s="3189"/>
      <c r="J18" s="3192"/>
    </row>
    <row r="19" spans="1:10" ht="16.5">
      <c r="A19" s="3187" t="s">
        <v>2843</v>
      </c>
      <c r="B19" s="3189"/>
      <c r="C19" s="3189"/>
      <c r="D19" s="3189"/>
      <c r="E19" s="3188" t="e">
        <f t="shared" si="2"/>
        <v>#DIV/0!</v>
      </c>
      <c r="F19" s="3188" t="e">
        <f t="shared" si="3"/>
        <v>#DIV/0!</v>
      </c>
      <c r="G19" s="3189"/>
      <c r="H19" s="3189"/>
      <c r="I19" s="3189"/>
      <c r="J19" s="3192"/>
    </row>
    <row r="20" spans="1:10" ht="16.5">
      <c r="A20" s="3187" t="s">
        <v>2844</v>
      </c>
      <c r="B20" s="3189"/>
      <c r="C20" s="3189"/>
      <c r="D20" s="3189"/>
      <c r="E20" s="3188" t="e">
        <f t="shared" si="2"/>
        <v>#DIV/0!</v>
      </c>
      <c r="F20" s="3188" t="e">
        <f t="shared" si="3"/>
        <v>#DIV/0!</v>
      </c>
      <c r="G20" s="3189"/>
      <c r="H20" s="3189"/>
      <c r="I20" s="3189"/>
      <c r="J20" s="3192"/>
    </row>
    <row r="21" spans="1:10" ht="16.5">
      <c r="A21" s="3187" t="s">
        <v>2845</v>
      </c>
      <c r="B21" s="3189"/>
      <c r="C21" s="3189"/>
      <c r="D21" s="3189"/>
      <c r="E21" s="3188" t="e">
        <f t="shared" si="2"/>
        <v>#DIV/0!</v>
      </c>
      <c r="F21" s="3188" t="e">
        <f t="shared" si="3"/>
        <v>#DIV/0!</v>
      </c>
      <c r="G21" s="3189"/>
      <c r="H21" s="3189"/>
      <c r="I21" s="3189"/>
      <c r="J21" s="3192"/>
    </row>
    <row r="22" spans="1:10" ht="16.5">
      <c r="A22" s="3187" t="s">
        <v>2846</v>
      </c>
      <c r="B22" s="3189"/>
      <c r="C22" s="3189"/>
      <c r="D22" s="3189"/>
      <c r="E22" s="3188" t="e">
        <f t="shared" si="2"/>
        <v>#DIV/0!</v>
      </c>
      <c r="F22" s="3188" t="e">
        <f t="shared" si="3"/>
        <v>#DIV/0!</v>
      </c>
      <c r="G22" s="3189"/>
      <c r="H22" s="3189"/>
      <c r="I22" s="3189"/>
      <c r="J22" s="3192"/>
    </row>
    <row r="23" spans="1:10" ht="16.5">
      <c r="A23" s="3187" t="s">
        <v>2847</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v>33411</v>
      </c>
      <c r="H24" s="3192"/>
      <c r="I24" s="3192">
        <v>13856</v>
      </c>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2" zoomScale="85" zoomScaleNormal="100" zoomScaleSheetLayoutView="85" zoomScalePageLayoutView="80" workbookViewId="0">
      <selection activeCell="N76" sqref="N76"/>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1" t="str">
        <f>项目基本情况!K2</f>
        <v>出让国有建设用地使用权</v>
      </c>
      <c r="B2" s="3462"/>
      <c r="C2" s="3463"/>
      <c r="D2" s="3463"/>
      <c r="E2" s="3463"/>
      <c r="F2" s="3463"/>
      <c r="G2" s="3462"/>
      <c r="H2" s="3462"/>
      <c r="I2" s="3464"/>
      <c r="J2" s="1912"/>
      <c r="K2" s="1911"/>
      <c r="L2" s="1911"/>
      <c r="M2" s="1911"/>
      <c r="N2" s="1911"/>
      <c r="O2" s="1911"/>
      <c r="P2" s="1911"/>
      <c r="Q2" s="1911"/>
      <c r="R2" s="1911"/>
      <c r="S2" s="1911"/>
      <c r="T2" s="1911"/>
      <c r="U2" s="1911"/>
      <c r="V2" s="1911"/>
    </row>
    <row r="3" spans="1:22" ht="14.25">
      <c r="A3" s="3472" t="s">
        <v>298</v>
      </c>
      <c r="B3" s="3473"/>
      <c r="C3" s="3473"/>
      <c r="D3" s="3473"/>
      <c r="E3" s="3473"/>
      <c r="F3" s="3473"/>
      <c r="G3" s="3473"/>
      <c r="H3" s="3473"/>
      <c r="I3" s="3473"/>
      <c r="J3" s="1912"/>
      <c r="K3" s="1911"/>
      <c r="L3" s="1911"/>
      <c r="M3" s="1911"/>
      <c r="N3" s="1911"/>
      <c r="O3" s="1911"/>
      <c r="P3" s="1911"/>
      <c r="Q3" s="1911"/>
      <c r="R3" s="1911"/>
      <c r="S3" s="1911"/>
      <c r="T3" s="1911"/>
      <c r="U3" s="1911"/>
      <c r="V3" s="1911"/>
    </row>
    <row r="4" spans="1:22" ht="14.25">
      <c r="A4" s="256" t="s">
        <v>299</v>
      </c>
      <c r="B4" s="257" t="s">
        <v>300</v>
      </c>
      <c r="C4" s="258" t="s">
        <v>3180</v>
      </c>
      <c r="D4" s="258" t="s">
        <v>3181</v>
      </c>
      <c r="E4" s="3436" t="s">
        <v>301</v>
      </c>
      <c r="F4" s="3478"/>
      <c r="G4" s="3478"/>
      <c r="H4" s="3478"/>
      <c r="I4" s="3437"/>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65" t="s">
        <v>302</v>
      </c>
      <c r="B5" s="3466">
        <v>25</v>
      </c>
      <c r="C5" s="3474"/>
      <c r="D5" s="3477"/>
      <c r="E5" s="259" t="s">
        <v>303</v>
      </c>
      <c r="F5" s="260"/>
      <c r="G5" s="260"/>
      <c r="H5" s="260"/>
      <c r="I5" s="261"/>
      <c r="J5" s="1912"/>
      <c r="K5" s="1911"/>
      <c r="L5" s="1911"/>
      <c r="M5" s="1911"/>
      <c r="N5" s="1911"/>
      <c r="O5" s="1911"/>
      <c r="P5" s="1911"/>
      <c r="Q5" s="1911"/>
      <c r="R5" s="1911"/>
      <c r="S5" s="1911"/>
      <c r="T5" s="1911"/>
      <c r="U5" s="1911"/>
      <c r="V5" s="1911"/>
    </row>
    <row r="6" spans="1:22" ht="14.25">
      <c r="A6" s="3465"/>
      <c r="B6" s="3466"/>
      <c r="C6" s="3475"/>
      <c r="D6" s="3477"/>
      <c r="E6" s="259" t="s">
        <v>304</v>
      </c>
      <c r="F6" s="260"/>
      <c r="G6" s="260"/>
      <c r="H6" s="260"/>
      <c r="I6" s="261"/>
      <c r="J6" s="1912"/>
      <c r="K6" s="1911"/>
      <c r="L6" s="1911"/>
      <c r="M6" s="1911"/>
      <c r="N6" s="1911"/>
      <c r="O6" s="1911"/>
      <c r="P6" s="1911"/>
      <c r="Q6" s="1911"/>
      <c r="R6" s="1911"/>
      <c r="S6" s="1911"/>
      <c r="T6" s="1911"/>
      <c r="U6" s="1911"/>
      <c r="V6" s="1911"/>
    </row>
    <row r="7" spans="1:22" ht="14.25">
      <c r="A7" s="3465"/>
      <c r="B7" s="3466"/>
      <c r="C7" s="3476"/>
      <c r="D7" s="3477"/>
      <c r="E7" s="259" t="s">
        <v>305</v>
      </c>
      <c r="F7" s="260"/>
      <c r="G7" s="260"/>
      <c r="H7" s="260"/>
      <c r="I7" s="261"/>
      <c r="J7" s="1912"/>
      <c r="K7" s="1911"/>
      <c r="L7" s="1911"/>
      <c r="M7" s="1911"/>
      <c r="N7" s="1911"/>
      <c r="O7" s="1911"/>
      <c r="P7" s="1911"/>
      <c r="Q7" s="1911"/>
      <c r="R7" s="1911"/>
      <c r="S7" s="1911"/>
      <c r="T7" s="1911"/>
      <c r="U7" s="1911"/>
      <c r="V7" s="1911"/>
    </row>
    <row r="8" spans="1:22" ht="14.25">
      <c r="A8" s="3465" t="s">
        <v>306</v>
      </c>
      <c r="B8" s="3466">
        <v>15</v>
      </c>
      <c r="C8" s="3474"/>
      <c r="D8" s="3477"/>
      <c r="E8" s="259" t="s">
        <v>307</v>
      </c>
      <c r="F8" s="260"/>
      <c r="G8" s="260"/>
      <c r="H8" s="260"/>
      <c r="I8" s="261"/>
      <c r="J8" s="1912"/>
      <c r="K8" s="1911"/>
      <c r="L8" s="1911"/>
      <c r="M8" s="1911"/>
      <c r="N8" s="1911"/>
      <c r="O8" s="1911"/>
      <c r="P8" s="1911"/>
      <c r="Q8" s="1911"/>
      <c r="R8" s="1911"/>
      <c r="S8" s="1911"/>
      <c r="T8" s="1911"/>
      <c r="U8" s="1911"/>
      <c r="V8" s="1911"/>
    </row>
    <row r="9" spans="1:22" ht="14.25">
      <c r="A9" s="3465"/>
      <c r="B9" s="3466"/>
      <c r="C9" s="3476"/>
      <c r="D9" s="3477"/>
      <c r="E9" s="259" t="s">
        <v>308</v>
      </c>
      <c r="F9" s="260"/>
      <c r="G9" s="260"/>
      <c r="H9" s="260"/>
      <c r="I9" s="261"/>
      <c r="J9" s="1912"/>
      <c r="K9" s="1911"/>
      <c r="L9" s="1911"/>
      <c r="M9" s="1911"/>
      <c r="N9" s="1911"/>
      <c r="O9" s="1911"/>
      <c r="P9" s="1911"/>
      <c r="Q9" s="1911"/>
      <c r="R9" s="1911"/>
      <c r="S9" s="1911"/>
      <c r="T9" s="1911"/>
      <c r="U9" s="1911"/>
      <c r="V9" s="1911"/>
    </row>
    <row r="10" spans="1:22" ht="14.25">
      <c r="A10" s="3465" t="s">
        <v>309</v>
      </c>
      <c r="B10" s="3466">
        <v>15</v>
      </c>
      <c r="C10" s="3474"/>
      <c r="D10" s="347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65"/>
      <c r="B11" s="3466"/>
      <c r="C11" s="3476"/>
      <c r="D11" s="347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65" t="s">
        <v>312</v>
      </c>
      <c r="B12" s="3466">
        <v>15</v>
      </c>
      <c r="C12" s="3474"/>
      <c r="D12" s="347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65"/>
      <c r="B13" s="3466"/>
      <c r="C13" s="3476"/>
      <c r="D13" s="347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65" t="s">
        <v>315</v>
      </c>
      <c r="B14" s="3466">
        <v>30</v>
      </c>
      <c r="C14" s="3474">
        <v>4</v>
      </c>
      <c r="D14" s="3477">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65"/>
      <c r="B15" s="3466"/>
      <c r="C15" s="3475"/>
      <c r="D15" s="347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65"/>
      <c r="B16" s="3466"/>
      <c r="C16" s="3476"/>
      <c r="D16" s="347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79" t="s">
        <v>2960</v>
      </c>
      <c r="F18" s="3480"/>
      <c r="G18" s="3480"/>
      <c r="H18" s="3480"/>
      <c r="I18" s="3480"/>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27025</v>
      </c>
      <c r="D19" s="269">
        <f ca="1">SUMIF(INDIRECT("'"&amp;D4&amp;"'"&amp;"!A:A"),结果表!B19,INDIRECT("'"&amp;D4&amp;"'"&amp;"!B:B"))</f>
        <v>37878</v>
      </c>
      <c r="E19" s="266" t="s">
        <v>323</v>
      </c>
      <c r="F19" s="267" t="s">
        <v>322</v>
      </c>
      <c r="G19" s="270">
        <f ca="1">ROUND(C19*$C$18+D19*$D$18,0)</f>
        <v>33537</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11474</v>
      </c>
      <c r="D20" s="275">
        <f ca="1">SUMIF(INDIRECT("'"&amp;D4&amp;"'"&amp;"!A:A"),结果表!B20,INDIRECT("'"&amp;D4&amp;"'"&amp;"!B:B"))</f>
        <v>16082</v>
      </c>
      <c r="E20" s="272"/>
      <c r="F20" s="273" t="s">
        <v>325</v>
      </c>
      <c r="G20" s="276">
        <f ca="1">ROUND(C20*$C$18+D20*$D$18,0)</f>
        <v>14239</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11474</v>
      </c>
      <c r="D21" s="149">
        <f ca="1">SUMIF(INDIRECT("'"&amp;D4&amp;"'"&amp;"!A:A"),结果表!B21,INDIRECT("'"&amp;D4&amp;"'"&amp;"!B:B"))</f>
        <v>16082</v>
      </c>
      <c r="E21" s="272"/>
      <c r="F21" s="278" t="s">
        <v>327</v>
      </c>
      <c r="G21" s="280">
        <f ca="1">ROUND(C21*$C$18+D21*$D$18,0)</f>
        <v>14239</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0.40159111933395009</v>
      </c>
      <c r="E22" s="282"/>
      <c r="F22" s="283"/>
      <c r="G22" s="284">
        <f ca="1">ROUND(G19/('数据-汇总表'!D3/666.67),0)</f>
        <v>949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38"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85"/>
      <c r="B25" s="1274" t="s">
        <v>331</v>
      </c>
      <c r="C25" s="288">
        <f>IF(B30=0,0,C30)</f>
        <v>0</v>
      </c>
      <c r="D25" s="289"/>
      <c r="E25" s="309"/>
      <c r="F25" s="309"/>
      <c r="G25" s="309"/>
      <c r="H25" s="309"/>
      <c r="I25" s="309"/>
      <c r="J25" s="1911"/>
      <c r="K25" s="1208" t="str">
        <f ca="1">项目基本情况!B16&amp;"国有建设用地使用权价格："&amp;O38&amp;"万元"</f>
        <v>出让国有建设用地使用权价格：33537万元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大写金额：人民币叁亿叁仟伍佰叁拾柒万元整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单位面积地价：14239元/平方米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楼面地价：14239元/平方米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抵押价格：33537万元</v>
      </c>
      <c r="L29" s="1205"/>
      <c r="M29" s="1205"/>
      <c r="N29" s="1205"/>
      <c r="O29" s="1204"/>
      <c r="P29" s="1911"/>
      <c r="V29" s="1911"/>
    </row>
    <row r="30" spans="1:26" ht="18.75" thickBot="1">
      <c r="A30" s="2798" t="s">
        <v>336</v>
      </c>
      <c r="B30" s="307"/>
      <c r="C30" s="307"/>
      <c r="D30" s="308"/>
      <c r="E30" s="3001" t="s">
        <v>2961</v>
      </c>
      <c r="F30" s="309"/>
      <c r="G30" s="309"/>
      <c r="H30" s="309"/>
      <c r="I30" s="309"/>
      <c r="J30" s="1911"/>
      <c r="K30" s="1211" t="str">
        <f ca="1">IF(K29="——","——","大写金额：人民币"&amp;NUMBERSTRING(INT(O39*10000),2)&amp;"元整")</f>
        <v>大写金额：人民币叁亿叁仟伍佰叁拾柒万元整</v>
      </c>
      <c r="L30" s="1205"/>
      <c r="M30" s="1205"/>
      <c r="N30" s="1205"/>
      <c r="O30" s="1204"/>
      <c r="P30" s="1911"/>
      <c r="V30" s="1911"/>
    </row>
    <row r="31" spans="1:26" ht="24" customHeight="1" thickBot="1">
      <c r="A31" s="3481" t="s">
        <v>2962</v>
      </c>
      <c r="B31" s="3481"/>
      <c r="C31" s="3481"/>
      <c r="D31" s="3481"/>
      <c r="E31" s="3481"/>
      <c r="F31" s="3481"/>
      <c r="G31" s="3481"/>
      <c r="H31" s="3481"/>
      <c r="I31" s="3481"/>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2" t="s">
        <v>1679</v>
      </c>
      <c r="C32" s="264">
        <f ca="1">G19-C24</f>
        <v>33537</v>
      </c>
      <c r="D32" s="3003"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14239</v>
      </c>
      <c r="D33" s="1333" t="s">
        <v>1682</v>
      </c>
      <c r="E33" s="3438" t="s">
        <v>338</v>
      </c>
      <c r="F33" s="294" t="s">
        <v>339</v>
      </c>
      <c r="G33" s="295"/>
      <c r="H33" s="967"/>
      <c r="I33" s="1212"/>
      <c r="J33" s="1911"/>
      <c r="K33" s="1211" t="str">
        <f ca="1">IF(项目基本情况!E9="——","——","抵押净值："&amp;C46&amp;"万元")</f>
        <v>抵押净值：18063万元</v>
      </c>
      <c r="L33" s="1205"/>
      <c r="M33" s="1205"/>
      <c r="N33" s="1205"/>
      <c r="O33" s="1204"/>
      <c r="P33" s="1911"/>
      <c r="V33" s="1911"/>
    </row>
    <row r="34" spans="1:26" s="1207" customFormat="1" ht="18.75" thickBot="1">
      <c r="A34" s="298"/>
      <c r="B34" s="1334" t="s">
        <v>1683</v>
      </c>
      <c r="C34" s="262">
        <f ca="1">ROUND(C32*10000/'数据-汇总表'!D3,0)</f>
        <v>14239</v>
      </c>
      <c r="D34" s="1335" t="s">
        <v>1682</v>
      </c>
      <c r="E34" s="3439"/>
      <c r="F34" s="127" t="s">
        <v>341</v>
      </c>
      <c r="G34" s="297"/>
      <c r="H34" s="105"/>
      <c r="I34" s="309"/>
      <c r="J34" s="1911"/>
      <c r="K34" s="1214" t="str">
        <f ca="1">IF(K33="——","——","大写金额：人民币"&amp;NUMBERSTRING(INT(O41*10000),2)&amp;"元整")</f>
        <v>大写金额：人民币壹亿捌仟零陆拾叁万元整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949</v>
      </c>
      <c r="D35" s="1338" t="s">
        <v>1684</v>
      </c>
      <c r="E35" s="3440"/>
      <c r="F35" s="299" t="s">
        <v>342</v>
      </c>
      <c r="G35" s="969"/>
      <c r="H35" s="968" t="s">
        <v>343</v>
      </c>
      <c r="I35" s="309"/>
      <c r="J35" s="1911"/>
      <c r="K35" s="3444" t="s">
        <v>350</v>
      </c>
      <c r="L35" s="3444" t="s">
        <v>351</v>
      </c>
      <c r="M35" s="1217" t="s">
        <v>352</v>
      </c>
      <c r="N35" s="3444" t="s">
        <v>353</v>
      </c>
      <c r="O35" s="3444" t="s">
        <v>354</v>
      </c>
      <c r="P35" s="1911"/>
      <c r="V35" s="1911"/>
    </row>
    <row r="36" spans="1:26" ht="16.5" customHeight="1">
      <c r="A36" s="301" t="s">
        <v>344</v>
      </c>
      <c r="B36" s="302" t="s">
        <v>333</v>
      </c>
      <c r="C36" s="303" t="s">
        <v>345</v>
      </c>
      <c r="D36" s="303" t="s">
        <v>346</v>
      </c>
      <c r="E36" s="304" t="s">
        <v>347</v>
      </c>
      <c r="F36" s="309"/>
      <c r="G36" s="309"/>
      <c r="H36" s="309"/>
      <c r="I36" s="309"/>
      <c r="J36" s="1913"/>
      <c r="K36" s="3445"/>
      <c r="L36" s="3445"/>
      <c r="M36" s="1219" t="s">
        <v>355</v>
      </c>
      <c r="N36" s="3445"/>
      <c r="O36" s="3445"/>
      <c r="P36" s="1911"/>
      <c r="V36" s="1911"/>
    </row>
    <row r="37" spans="1:26" ht="16.5" customHeight="1" thickBot="1">
      <c r="A37" s="1213" t="s">
        <v>348</v>
      </c>
      <c r="B37" s="305"/>
      <c r="C37" s="292"/>
      <c r="D37" s="292"/>
      <c r="E37" s="293"/>
      <c r="F37" s="309"/>
      <c r="G37" s="309"/>
      <c r="H37" s="309"/>
      <c r="I37" s="309"/>
      <c r="J37" s="1913"/>
      <c r="K37" s="3446"/>
      <c r="L37" s="3446"/>
      <c r="M37" s="1220"/>
      <c r="N37" s="3446"/>
      <c r="O37" s="3446"/>
      <c r="P37" s="1911"/>
      <c r="V37" s="1911"/>
    </row>
    <row r="38" spans="1:26" ht="16.5" customHeight="1" thickBot="1">
      <c r="A38" s="1213" t="s">
        <v>349</v>
      </c>
      <c r="B38" s="305"/>
      <c r="C38" s="292"/>
      <c r="D38" s="292"/>
      <c r="E38" s="293"/>
      <c r="F38" s="309"/>
      <c r="G38" s="309"/>
      <c r="H38" s="309"/>
      <c r="I38" s="309"/>
      <c r="J38" s="1913"/>
      <c r="K38" s="1221">
        <f>'数据-汇总表'!D3</f>
        <v>23553.4</v>
      </c>
      <c r="L38" s="1222">
        <f>'数据-汇总表'!E3</f>
        <v>23553.4</v>
      </c>
      <c r="M38" s="1222">
        <f ca="1">C34</f>
        <v>14239</v>
      </c>
      <c r="N38" s="1222">
        <f ca="1">C33</f>
        <v>14239</v>
      </c>
      <c r="O38" s="1223">
        <f ca="1">C32</f>
        <v>33537</v>
      </c>
      <c r="P38" s="1911"/>
      <c r="V38" s="1911"/>
    </row>
    <row r="39" spans="1:26" ht="16.5" customHeight="1" thickBot="1">
      <c r="A39" s="1218"/>
      <c r="B39" s="306"/>
      <c r="C39" s="307"/>
      <c r="D39" s="307"/>
      <c r="E39" s="308"/>
      <c r="F39" s="309"/>
      <c r="G39" s="309"/>
      <c r="H39" s="309"/>
      <c r="I39" s="309"/>
      <c r="J39" s="1913"/>
      <c r="K39" s="3457" t="str">
        <f>MID(A44,3,LEN(A44)-2)</f>
        <v>抵押价格</v>
      </c>
      <c r="L39" s="3458"/>
      <c r="M39" s="3458"/>
      <c r="N39" s="3459"/>
      <c r="O39" s="1340">
        <f ca="1">C44</f>
        <v>33537</v>
      </c>
      <c r="P39" s="1911"/>
      <c r="V39" s="1911"/>
    </row>
    <row r="40" spans="1:26" ht="19.5" thickBot="1">
      <c r="A40" s="104" t="s">
        <v>864</v>
      </c>
      <c r="B40" s="309"/>
      <c r="C40" s="309"/>
      <c r="D40" s="309"/>
      <c r="E40" s="309"/>
      <c r="F40" s="309"/>
      <c r="G40" s="309"/>
      <c r="H40" s="309"/>
      <c r="I40" s="309"/>
      <c r="J40" s="1913"/>
      <c r="K40" s="3457" t="str">
        <f t="shared" ref="K40:K41" si="0">MID(A45,3,LEN(A45)-2)</f>
        <v/>
      </c>
      <c r="L40" s="3458"/>
      <c r="M40" s="3458"/>
      <c r="N40" s="3459"/>
      <c r="O40" s="1340" t="str">
        <f>C45</f>
        <v>——</v>
      </c>
      <c r="P40" s="1911"/>
      <c r="V40" s="1911"/>
    </row>
    <row r="41" spans="1:26" ht="16.5" thickBot="1">
      <c r="A41" s="310" t="s">
        <v>356</v>
      </c>
      <c r="B41" s="311"/>
      <c r="C41" s="312" t="s">
        <v>357</v>
      </c>
      <c r="D41" s="313" t="s">
        <v>358</v>
      </c>
      <c r="E41" s="313" t="s">
        <v>359</v>
      </c>
      <c r="F41" s="314" t="s">
        <v>360</v>
      </c>
      <c r="G41" s="309"/>
      <c r="H41" s="309"/>
      <c r="I41" s="309"/>
      <c r="J41" s="1913"/>
      <c r="K41" s="3457" t="str">
        <f t="shared" si="0"/>
        <v>抵押净值</v>
      </c>
      <c r="L41" s="3458"/>
      <c r="M41" s="3458"/>
      <c r="N41" s="3459"/>
      <c r="O41" s="1340">
        <f ca="1">C46</f>
        <v>18063</v>
      </c>
      <c r="P41" s="1911"/>
      <c r="V41" s="1911"/>
    </row>
    <row r="42" spans="1:26" ht="29.25">
      <c r="A42" s="3486" t="s">
        <v>2056</v>
      </c>
      <c r="B42" s="3487"/>
      <c r="C42" s="262">
        <f ca="1">C32</f>
        <v>33537</v>
      </c>
      <c r="D42" s="315">
        <f ca="1">C33</f>
        <v>14239</v>
      </c>
      <c r="E42" s="315">
        <f ca="1">C34</f>
        <v>14239</v>
      </c>
      <c r="F42" s="316">
        <f ca="1">C35</f>
        <v>949</v>
      </c>
      <c r="G42" s="309"/>
      <c r="H42" s="309"/>
      <c r="I42" s="317"/>
      <c r="J42" s="1913"/>
      <c r="K42" s="1224" t="s">
        <v>361</v>
      </c>
      <c r="L42" s="1930" t="s">
        <v>362</v>
      </c>
      <c r="M42" s="1225" t="s">
        <v>363</v>
      </c>
      <c r="N42" s="1931" t="s">
        <v>364</v>
      </c>
      <c r="O42" s="1932" t="s">
        <v>365</v>
      </c>
      <c r="P42" s="1911"/>
      <c r="V42" s="1911"/>
    </row>
    <row r="43" spans="1:26" ht="30">
      <c r="A43" s="3496" t="s">
        <v>2710</v>
      </c>
      <c r="B43" s="3497"/>
      <c r="C43" s="262">
        <f>IF(H33="正常操作",G33+G34+G35,G34+G35)</f>
        <v>0</v>
      </c>
      <c r="D43" s="315" t="s">
        <v>43</v>
      </c>
      <c r="E43" s="315" t="s">
        <v>44</v>
      </c>
      <c r="F43" s="316" t="s">
        <v>44</v>
      </c>
      <c r="G43" s="2583" t="s">
        <v>943</v>
      </c>
      <c r="H43" s="309"/>
      <c r="I43" s="317"/>
      <c r="J43" s="1913"/>
      <c r="K43" s="1226" t="str">
        <f>C4</f>
        <v>比较法-住宅、综合</v>
      </c>
      <c r="L43" s="1227">
        <f ca="1">IF(L42="估价结果/万元",C19,C20)</f>
        <v>27025</v>
      </c>
      <c r="M43" s="1228">
        <f>C18</f>
        <v>0.4</v>
      </c>
      <c r="N43" s="1229">
        <f ca="1">IF(N42="测算结果/万元",G19,G20)</f>
        <v>33537</v>
      </c>
      <c r="O43" s="1230">
        <f ca="1">IF(O42="最终结果/万元",C32,C33)</f>
        <v>33537</v>
      </c>
      <c r="P43" s="1911"/>
      <c r="V43" s="1911"/>
    </row>
    <row r="44" spans="1:26" ht="30.75" thickBot="1">
      <c r="A44" s="3486" t="str">
        <f>IF(OR(项目基本情况!E8="抵押价格",项目基本情况!E8="已注销及未注销"),"3.抵押价格","——")</f>
        <v>3.抵押价格</v>
      </c>
      <c r="B44" s="3487"/>
      <c r="C44" s="262">
        <f ca="1">IF(A44="——","——",C42-C43)</f>
        <v>33537</v>
      </c>
      <c r="D44" s="315">
        <f ca="1">ROUND(C44*10000/'数据-汇总表'!E3,0)</f>
        <v>14239</v>
      </c>
      <c r="E44" s="315">
        <f ca="1">ROUND(C44*10000/'数据-汇总表'!D3,0)</f>
        <v>14239</v>
      </c>
      <c r="F44" s="316">
        <f ca="1">ROUND(C44/('数据-汇总表'!D3/666.67),0)</f>
        <v>949</v>
      </c>
      <c r="G44" s="309"/>
      <c r="H44" s="309"/>
      <c r="I44" s="317"/>
      <c r="J44" s="1913"/>
      <c r="K44" s="1231" t="str">
        <f>D4</f>
        <v>剩余法-待开发</v>
      </c>
      <c r="L44" s="1232">
        <f ca="1">IF(L42="估价结果/万元",D19,D20)</f>
        <v>37878</v>
      </c>
      <c r="M44" s="1233">
        <f>D18</f>
        <v>0.6</v>
      </c>
      <c r="N44" s="1234"/>
      <c r="O44" s="1235"/>
      <c r="P44" s="1911"/>
      <c r="V44" s="1911"/>
    </row>
    <row r="45" spans="1:26" ht="15">
      <c r="A45" s="3491" t="str">
        <f>IF(项目基本情况!E8="已注销及未注销","4.抵押担保权已注销时的抵押价格",IF(项目基本情况!E8="已注销","3.抵押担保权已注销时的抵押价格","——"))</f>
        <v>——</v>
      </c>
      <c r="B45" s="3492"/>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88" t="str">
        <f>IF(项目基本情况!E9="抵押净值",IF(A45="——","4.抵押净值","5.抵押净值"),"——")</f>
        <v>4.抵押净值</v>
      </c>
      <c r="B46" s="3489"/>
      <c r="C46" s="318">
        <f ca="1">IF(A46="——","——",O79)</f>
        <v>18063</v>
      </c>
      <c r="D46" s="315">
        <f ca="1">ROUND(C46*10000/'数据-汇总表'!E3,0)</f>
        <v>7669</v>
      </c>
      <c r="E46" s="315">
        <f ca="1">ROUND(C46*10000/'数据-汇总表'!D3,0)</f>
        <v>7669</v>
      </c>
      <c r="F46" s="316">
        <f ca="1">ROUND(C46/('数据-汇总表'!D3/666.67),0)</f>
        <v>511</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49" t="s">
        <v>374</v>
      </c>
      <c r="B63" s="3450"/>
      <c r="C63" s="3451"/>
      <c r="D63" s="339">
        <f ca="1">ROUND(C42*F63,0)</f>
        <v>26830</v>
      </c>
      <c r="E63" s="300" t="s">
        <v>375</v>
      </c>
      <c r="F63" s="340">
        <v>0.8</v>
      </c>
      <c r="G63" s="341" t="s">
        <v>376</v>
      </c>
      <c r="H63" s="309"/>
      <c r="I63" s="309"/>
      <c r="J63" s="1911"/>
      <c r="K63" s="1911"/>
      <c r="L63" s="1911"/>
      <c r="M63" s="1911"/>
      <c r="N63" s="1911"/>
      <c r="O63" s="1911"/>
      <c r="P63" s="1911"/>
      <c r="Q63" s="1911"/>
      <c r="R63" s="1911"/>
      <c r="S63" s="1911"/>
      <c r="T63" s="1911"/>
      <c r="U63" s="1911"/>
      <c r="V63" s="1911"/>
    </row>
    <row r="64" spans="1:22" ht="14.25" customHeight="1">
      <c r="A64" s="3493" t="s">
        <v>378</v>
      </c>
      <c r="B64" s="3494"/>
      <c r="C64" s="3494"/>
      <c r="D64" s="3494"/>
      <c r="E64" s="3494"/>
      <c r="F64" s="3494"/>
      <c r="G64" s="3495"/>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90" t="s">
        <v>386</v>
      </c>
      <c r="B66" s="3456"/>
      <c r="C66" s="3456"/>
      <c r="D66" s="259">
        <f ca="1">IF(H66="情况1",0,IF(H66="情况2",D70,IF(H66="情况3",D71,IF(H66="情况4",D72))))</f>
        <v>1405</v>
      </c>
      <c r="E66" s="980" t="str">
        <f>IF(H66="情况4","(销售额-原购置价)×税（费）率","销售额×税（费）率")</f>
        <v>销售额×税（费）率</v>
      </c>
      <c r="F66" s="348">
        <f>IF(H66="情况1","免征",'数据-取费表'!B41)</f>
        <v>5.5000000000000007E-2</v>
      </c>
      <c r="G66" s="349" t="s">
        <v>387</v>
      </c>
      <c r="H66" s="189" t="s">
        <v>3182</v>
      </c>
      <c r="I66" s="1241"/>
      <c r="J66" s="1917"/>
      <c r="K66" s="1244">
        <v>1</v>
      </c>
      <c r="L66" s="3417" t="s">
        <v>385</v>
      </c>
      <c r="M66" s="3418"/>
      <c r="N66" s="2312"/>
      <c r="O66" s="2313"/>
      <c r="P66" s="2314"/>
      <c r="Q66" s="1911"/>
      <c r="R66" s="1911"/>
      <c r="S66" s="1911"/>
      <c r="T66" s="1911"/>
      <c r="U66" s="1911"/>
      <c r="V66" s="1911"/>
    </row>
    <row r="67" spans="1:22" ht="25.5" customHeight="1">
      <c r="A67" s="350" t="s">
        <v>389</v>
      </c>
      <c r="B67" s="3468" t="s">
        <v>390</v>
      </c>
      <c r="C67" s="3468"/>
      <c r="D67" s="351">
        <v>0</v>
      </c>
      <c r="E67" s="41" t="s">
        <v>391</v>
      </c>
      <c r="F67" s="62" t="s">
        <v>21</v>
      </c>
      <c r="G67" s="3452"/>
      <c r="H67" s="3004" t="s">
        <v>2963</v>
      </c>
      <c r="I67" s="3006"/>
      <c r="J67" s="1918"/>
      <c r="K67" s="1890">
        <v>2</v>
      </c>
      <c r="L67" s="3422" t="s">
        <v>388</v>
      </c>
      <c r="M67" s="3422"/>
      <c r="N67" s="1278">
        <f>'数据-取费表'!B2</f>
        <v>44315</v>
      </c>
      <c r="O67" s="1278"/>
      <c r="P67" s="1278"/>
      <c r="Q67" s="1911"/>
      <c r="R67" s="1911"/>
      <c r="S67" s="1911"/>
      <c r="T67" s="1911"/>
      <c r="U67" s="1911"/>
      <c r="V67" s="1911"/>
    </row>
    <row r="68" spans="1:22" ht="25.5" customHeight="1">
      <c r="A68" s="352"/>
      <c r="B68" s="3468" t="s">
        <v>393</v>
      </c>
      <c r="C68" s="3468"/>
      <c r="D68" s="353"/>
      <c r="E68" s="77"/>
      <c r="F68" s="354"/>
      <c r="G68" s="3453"/>
      <c r="H68" s="3005" t="s">
        <v>2964</v>
      </c>
      <c r="I68" s="3006"/>
      <c r="J68" s="1918"/>
      <c r="K68" s="1890">
        <v>3</v>
      </c>
      <c r="L68" s="3422" t="s">
        <v>392</v>
      </c>
      <c r="M68" s="3422"/>
      <c r="N68" s="1246">
        <f ca="1">C42</f>
        <v>33537</v>
      </c>
      <c r="O68" s="1246"/>
      <c r="P68" s="1246"/>
      <c r="Q68" s="1911"/>
      <c r="R68" s="1911"/>
      <c r="S68" s="1911"/>
      <c r="T68" s="1911"/>
      <c r="U68" s="1911"/>
      <c r="V68" s="1911"/>
    </row>
    <row r="69" spans="1:22" ht="23.45" customHeight="1">
      <c r="A69" s="355"/>
      <c r="B69" s="3468" t="s">
        <v>394</v>
      </c>
      <c r="C69" s="3468"/>
      <c r="D69" s="356"/>
      <c r="E69" s="73"/>
      <c r="F69" s="354"/>
      <c r="G69" s="3454"/>
      <c r="H69" s="3005" t="s">
        <v>2965</v>
      </c>
      <c r="I69" s="3006"/>
      <c r="J69" s="1918"/>
      <c r="K69" s="1247">
        <v>4</v>
      </c>
      <c r="L69" s="3423" t="s">
        <v>2860</v>
      </c>
      <c r="M69" s="3424"/>
      <c r="N69" s="1248">
        <f ca="1">C44</f>
        <v>33537</v>
      </c>
      <c r="O69" s="1248"/>
      <c r="P69" s="1248"/>
      <c r="Q69" s="1911"/>
      <c r="R69" s="1911"/>
      <c r="S69" s="1911"/>
      <c r="T69" s="1911"/>
      <c r="U69" s="1911"/>
      <c r="V69" s="1911"/>
    </row>
    <row r="70" spans="1:22" ht="24" customHeight="1">
      <c r="A70" s="357" t="s">
        <v>395</v>
      </c>
      <c r="B70" s="3468" t="s">
        <v>396</v>
      </c>
      <c r="C70" s="3468"/>
      <c r="D70" s="356">
        <f ca="1">ROUND(D63*'数据-取费表'!B41/(1+'数据-取费表'!C42),0)</f>
        <v>1405</v>
      </c>
      <c r="E70" s="17" t="s">
        <v>397</v>
      </c>
      <c r="F70" s="358">
        <f>'数据-取费表'!B41</f>
        <v>5.5000000000000007E-2</v>
      </c>
      <c r="G70" s="359"/>
      <c r="H70" s="309"/>
      <c r="I70" s="1245"/>
      <c r="J70" s="1918"/>
      <c r="K70" s="2763"/>
      <c r="L70" s="2764"/>
      <c r="M70" s="2764"/>
      <c r="N70" s="2765" t="s">
        <v>2864</v>
      </c>
      <c r="O70" s="2764"/>
      <c r="P70" s="2766"/>
      <c r="Q70" s="1911"/>
      <c r="R70" s="1911"/>
      <c r="S70" s="1911"/>
      <c r="T70" s="1911"/>
      <c r="U70" s="1911"/>
      <c r="V70" s="1911"/>
    </row>
    <row r="71" spans="1:22" ht="12" customHeight="1">
      <c r="A71" s="357" t="s">
        <v>403</v>
      </c>
      <c r="B71" s="3467" t="s">
        <v>2994</v>
      </c>
      <c r="C71" s="3484"/>
      <c r="D71" s="356">
        <f ca="1">ROUND(D63*'数据-取费表'!B41/(1+'数据-取费表'!C42),0)</f>
        <v>1405</v>
      </c>
      <c r="E71" s="17" t="s">
        <v>397</v>
      </c>
      <c r="F71" s="358">
        <f>'数据-取费表'!B41</f>
        <v>5.5000000000000007E-2</v>
      </c>
      <c r="G71" s="359"/>
      <c r="H71" s="309"/>
      <c r="I71" s="1245"/>
      <c r="J71" s="1918"/>
      <c r="K71" s="2762" t="s">
        <v>398</v>
      </c>
      <c r="L71" s="3425" t="s">
        <v>399</v>
      </c>
      <c r="M71" s="3425"/>
      <c r="N71" s="2762" t="s">
        <v>400</v>
      </c>
      <c r="O71" s="2762" t="s">
        <v>401</v>
      </c>
      <c r="P71" s="2762" t="s">
        <v>402</v>
      </c>
      <c r="Q71" s="1911"/>
      <c r="R71" s="1911"/>
      <c r="S71" s="1911"/>
      <c r="T71" s="1911"/>
      <c r="U71" s="1911"/>
      <c r="V71" s="1911"/>
    </row>
    <row r="72" spans="1:22" ht="12" customHeight="1">
      <c r="A72" s="357" t="s">
        <v>405</v>
      </c>
      <c r="B72" s="3467" t="s">
        <v>2995</v>
      </c>
      <c r="C72" s="3484"/>
      <c r="D72" s="356">
        <f ca="1">C86</f>
        <v>1405</v>
      </c>
      <c r="E72" s="73" t="s">
        <v>406</v>
      </c>
      <c r="F72" s="358">
        <f>'数据-取费表'!B41</f>
        <v>5.5000000000000007E-2</v>
      </c>
      <c r="G72" s="359"/>
      <c r="H72" s="1251"/>
      <c r="I72" s="1245"/>
      <c r="J72" s="1918"/>
      <c r="K72" s="1890">
        <v>1</v>
      </c>
      <c r="L72" s="3421" t="s">
        <v>404</v>
      </c>
      <c r="M72" s="3421"/>
      <c r="N72" s="1249">
        <f ca="1">D66</f>
        <v>1405</v>
      </c>
      <c r="O72" s="1773" t="str">
        <f>E66</f>
        <v>销售额×税（费）率</v>
      </c>
      <c r="P72" s="1250">
        <f>F66</f>
        <v>5.5000000000000007E-2</v>
      </c>
      <c r="Q72" s="1911"/>
      <c r="R72" s="1911"/>
      <c r="S72" s="1911"/>
      <c r="T72" s="1911"/>
      <c r="U72" s="1911"/>
      <c r="V72" s="1911"/>
    </row>
    <row r="73" spans="1:22" ht="24" customHeight="1">
      <c r="A73" s="3455" t="s">
        <v>408</v>
      </c>
      <c r="B73" s="3456"/>
      <c r="C73" s="3456"/>
      <c r="D73" s="360">
        <f ca="1">IF(H73="个人住宅",0,ROUND(D63*I73,0))</f>
        <v>13</v>
      </c>
      <c r="E73" s="17" t="s">
        <v>409</v>
      </c>
      <c r="F73" s="358">
        <f>IF(H73="正常",I73,"免征")</f>
        <v>5.0000000000000001E-4</v>
      </c>
      <c r="G73" s="359"/>
      <c r="H73" s="189" t="s">
        <v>3183</v>
      </c>
      <c r="I73" s="358">
        <f>'数据-取费表'!B49</f>
        <v>5.0000000000000001E-4</v>
      </c>
      <c r="J73" s="1918"/>
      <c r="K73" s="1890">
        <v>2</v>
      </c>
      <c r="L73" s="3421" t="s">
        <v>407</v>
      </c>
      <c r="M73" s="3421"/>
      <c r="N73" s="1249">
        <f t="shared" ref="N73:P74" ca="1" si="1">D73</f>
        <v>13</v>
      </c>
      <c r="O73" s="1773" t="str">
        <f t="shared" si="1"/>
        <v>销售额×税（费）率</v>
      </c>
      <c r="P73" s="1250">
        <f t="shared" si="1"/>
        <v>5.0000000000000001E-4</v>
      </c>
      <c r="Q73" s="1911"/>
      <c r="R73" s="1911"/>
      <c r="S73" s="1911"/>
      <c r="T73" s="1911"/>
      <c r="U73" s="1911"/>
      <c r="V73" s="1911"/>
    </row>
    <row r="74" spans="1:22" ht="24.75">
      <c r="A74" s="3455" t="s">
        <v>411</v>
      </c>
      <c r="B74" s="3456"/>
      <c r="C74" s="3456"/>
      <c r="D74" s="360">
        <f ca="1">IF(H74="个人住宅",D75,D76)</f>
        <v>14056</v>
      </c>
      <c r="E74" s="17" t="s">
        <v>412</v>
      </c>
      <c r="F74" s="358" t="str">
        <f>IF(H74="正常",F76,"免征")</f>
        <v>——</v>
      </c>
      <c r="G74" s="970" t="s">
        <v>413</v>
      </c>
      <c r="H74" s="361" t="s">
        <v>3183</v>
      </c>
      <c r="I74" s="42"/>
      <c r="J74" s="1918"/>
      <c r="K74" s="1890">
        <v>3</v>
      </c>
      <c r="L74" s="3421" t="s">
        <v>410</v>
      </c>
      <c r="M74" s="3421"/>
      <c r="N74" s="1249">
        <f t="shared" ca="1" si="1"/>
        <v>14056</v>
      </c>
      <c r="O74" s="1773" t="str">
        <f t="shared" si="1"/>
        <v>增值额×税（费）率</v>
      </c>
      <c r="P74" s="1252" t="str">
        <f t="shared" si="1"/>
        <v>——</v>
      </c>
      <c r="Q74" s="1911"/>
      <c r="R74" s="1911"/>
      <c r="S74" s="1911"/>
      <c r="T74" s="1911"/>
      <c r="U74" s="1911"/>
      <c r="V74" s="1911"/>
    </row>
    <row r="75" spans="1:22" ht="12.75">
      <c r="A75" s="357" t="s">
        <v>414</v>
      </c>
      <c r="B75" s="3436" t="s">
        <v>415</v>
      </c>
      <c r="C75" s="3437"/>
      <c r="D75" s="362">
        <v>0</v>
      </c>
      <c r="E75" s="41" t="s">
        <v>416</v>
      </c>
      <c r="F75" s="363"/>
      <c r="G75" s="359"/>
      <c r="H75" s="42"/>
      <c r="I75" s="42"/>
      <c r="J75" s="1918"/>
      <c r="K75" s="2756" t="str">
        <f>IF(H77="非个人房产","",4)</f>
        <v/>
      </c>
      <c r="L75" s="3421" t="str">
        <f>IF(H77="非个人房产","——","个人所得税")</f>
        <v>——</v>
      </c>
      <c r="M75" s="3421"/>
      <c r="N75" s="1253" t="str">
        <f>D77</f>
        <v>——</v>
      </c>
      <c r="O75" s="1786" t="str">
        <f>E77</f>
        <v>——</v>
      </c>
      <c r="P75" s="1254" t="str">
        <f>F77</f>
        <v>——</v>
      </c>
      <c r="Q75" s="1911"/>
      <c r="R75" s="1911"/>
      <c r="S75" s="1911"/>
      <c r="T75" s="1911"/>
      <c r="U75" s="1911"/>
      <c r="V75" s="1911"/>
    </row>
    <row r="76" spans="1:22" ht="24.75">
      <c r="A76" s="357" t="s">
        <v>395</v>
      </c>
      <c r="B76" s="3436" t="s">
        <v>418</v>
      </c>
      <c r="C76" s="3478"/>
      <c r="D76" s="360">
        <f ca="1">IF(H76="转让取得",C99,C115)</f>
        <v>14056</v>
      </c>
      <c r="E76" s="17" t="s">
        <v>419</v>
      </c>
      <c r="F76" s="53" t="s">
        <v>21</v>
      </c>
      <c r="G76" s="359"/>
      <c r="H76" s="361" t="s">
        <v>3184</v>
      </c>
      <c r="I76" s="42"/>
      <c r="J76" s="1918"/>
      <c r="K76" s="2756" t="str">
        <f>IF(项目基本情况!K6="上海银行",IF(K75="",4,K75+1),"")</f>
        <v/>
      </c>
      <c r="L76" s="3432" t="str">
        <f>IF(项目基本情况!K6="上海银行","其他处置费用","")</f>
        <v/>
      </c>
      <c r="M76" s="3433"/>
      <c r="N76" s="1249" t="str">
        <f>IF(项目基本情况!K6="上海银行",N89,"")</f>
        <v/>
      </c>
      <c r="O76" s="3434" t="str">
        <f>IF(项目基本情况!K6="上海银行","包含处置中涉及的律师、诉讼、拍卖、评估等费用","")</f>
        <v/>
      </c>
      <c r="P76" s="3435"/>
      <c r="Q76" s="1911"/>
      <c r="R76" s="1911"/>
      <c r="S76" s="1911"/>
      <c r="T76" s="1911"/>
      <c r="U76" s="1911"/>
      <c r="V76" s="1911"/>
    </row>
    <row r="77" spans="1:22" ht="24.75" thickBot="1">
      <c r="A77" s="3447" t="s">
        <v>421</v>
      </c>
      <c r="B77" s="3448"/>
      <c r="C77" s="3448"/>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1" t="s">
        <v>413</v>
      </c>
      <c r="H77" s="3008" t="s">
        <v>3185</v>
      </c>
      <c r="I77" s="3007" t="s">
        <v>2966</v>
      </c>
      <c r="J77" s="1918"/>
      <c r="K77" s="3443">
        <f>IF(AND(K75="",K76=""),4,IF(项目基本情况!K6="上海银行",K76+1,K75+1))</f>
        <v>4</v>
      </c>
      <c r="L77" s="3421" t="s">
        <v>2861</v>
      </c>
      <c r="M77" s="2761" t="s">
        <v>417</v>
      </c>
      <c r="N77" s="1255"/>
      <c r="O77" s="1256">
        <f ca="1">SUMIF(N72:N76,"&lt;9e307")</f>
        <v>15474</v>
      </c>
      <c r="P77" s="1257"/>
      <c r="Q77" s="2759">
        <f ca="1">O77/N69</f>
        <v>0.46140084086233113</v>
      </c>
      <c r="R77" s="1911"/>
      <c r="S77" s="1911"/>
      <c r="T77" s="1911"/>
      <c r="U77" s="1911"/>
      <c r="V77" s="1911"/>
    </row>
    <row r="78" spans="1:22" ht="12" customHeight="1">
      <c r="A78" s="1258"/>
      <c r="B78" s="309"/>
      <c r="C78" s="309"/>
      <c r="D78" s="309"/>
      <c r="E78" s="42"/>
      <c r="F78" s="42"/>
      <c r="G78" s="42"/>
      <c r="H78" s="990"/>
      <c r="I78" s="309"/>
      <c r="J78" s="1918"/>
      <c r="K78" s="3443"/>
      <c r="L78" s="3421"/>
      <c r="M78" s="2761" t="s">
        <v>420</v>
      </c>
      <c r="N78" s="1255"/>
      <c r="O78" s="1256" t="str">
        <f ca="1">NUMBERSTRING(INT(O77*10000),2)&amp;"元整"</f>
        <v>壹亿伍仟肆佰柒拾肆万元整</v>
      </c>
      <c r="P78" s="1257"/>
      <c r="Q78" s="1911"/>
      <c r="R78" s="1911"/>
      <c r="S78" s="1911"/>
      <c r="T78" s="1911"/>
      <c r="U78" s="1911"/>
      <c r="V78" s="1911"/>
    </row>
    <row r="79" spans="1:22" ht="13.5" thickBot="1">
      <c r="A79" s="3498" t="s">
        <v>422</v>
      </c>
      <c r="B79" s="3498"/>
      <c r="C79" s="3498"/>
      <c r="D79" s="3498"/>
      <c r="E79" s="3498"/>
      <c r="F79" s="42"/>
      <c r="G79" s="42"/>
      <c r="H79" s="990"/>
      <c r="I79" s="309"/>
      <c r="J79" s="1918"/>
      <c r="K79" s="3419">
        <f>K77+1</f>
        <v>5</v>
      </c>
      <c r="L79" s="3421" t="s">
        <v>2862</v>
      </c>
      <c r="M79" s="2761" t="s">
        <v>417</v>
      </c>
      <c r="N79" s="1255"/>
      <c r="O79" s="1256">
        <f ca="1">N69-O77</f>
        <v>18063</v>
      </c>
      <c r="P79" s="1257"/>
      <c r="Q79" s="1911"/>
      <c r="R79" s="1911"/>
      <c r="S79" s="1911"/>
      <c r="T79" s="1911"/>
      <c r="U79" s="1911"/>
      <c r="V79" s="1911"/>
    </row>
    <row r="80" spans="1:22" ht="25.5">
      <c r="A80" s="3429" t="s">
        <v>423</v>
      </c>
      <c r="B80" s="3430"/>
      <c r="C80" s="981"/>
      <c r="D80" s="981" t="s">
        <v>424</v>
      </c>
      <c r="E80" s="364" t="s">
        <v>425</v>
      </c>
      <c r="F80" s="42"/>
      <c r="G80" s="42"/>
      <c r="H80" s="990"/>
      <c r="I80" s="309"/>
      <c r="J80" s="1911"/>
      <c r="K80" s="3420"/>
      <c r="L80" s="3421"/>
      <c r="M80" s="2761" t="s">
        <v>420</v>
      </c>
      <c r="N80" s="1255"/>
      <c r="O80" s="1256" t="str">
        <f ca="1">NUMBERSTRING(INT(O79*10000),2)&amp;"元整"</f>
        <v>壹亿捌仟零陆拾叁万元整</v>
      </c>
      <c r="P80" s="1257"/>
      <c r="Q80" s="1911"/>
      <c r="R80" s="1911"/>
      <c r="S80" s="1911"/>
      <c r="T80" s="1911"/>
      <c r="U80" s="1911"/>
      <c r="V80" s="1911"/>
    </row>
    <row r="81" spans="1:26" ht="13.5" thickBot="1">
      <c r="A81" s="375" t="s">
        <v>1814</v>
      </c>
      <c r="B81" s="365" t="s">
        <v>426</v>
      </c>
      <c r="C81" s="366">
        <f ca="1">ROUND((C82+C83)/(1+'数据-取费表'!C42),0)</f>
        <v>25552</v>
      </c>
      <c r="D81" s="367"/>
      <c r="E81" s="368"/>
      <c r="F81" s="42"/>
      <c r="G81" s="42"/>
      <c r="H81" s="990"/>
      <c r="I81" s="309"/>
      <c r="J81" s="1911"/>
      <c r="K81" s="2756">
        <f>K79+1</f>
        <v>6</v>
      </c>
      <c r="L81" s="3441" t="s">
        <v>2863</v>
      </c>
      <c r="M81" s="3442"/>
      <c r="N81" s="1259"/>
      <c r="O81" s="1260">
        <f ca="1">ROUND(O79*10000/'数据-汇总表'!E3,0)</f>
        <v>7669</v>
      </c>
      <c r="P81" s="1261"/>
      <c r="Q81" s="1911"/>
      <c r="R81" s="1911"/>
      <c r="S81" s="1911"/>
      <c r="T81" s="1911"/>
      <c r="U81" s="1911"/>
      <c r="V81" s="1911"/>
    </row>
    <row r="82" spans="1:26" ht="13.5" thickTop="1">
      <c r="A82" s="369" t="s">
        <v>1815</v>
      </c>
      <c r="B82" s="370" t="s">
        <v>427</v>
      </c>
      <c r="C82" s="371">
        <f ca="1">D63</f>
        <v>26830</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31" t="s">
        <v>2851</v>
      </c>
      <c r="L83" s="2767" t="s">
        <v>2852</v>
      </c>
      <c r="M83" s="2757">
        <f ca="1">IF(N69&gt;10000,N69*0.5%,IF(AND(N69&gt;1000,N69&lt;=10000),N69*1%,IF(AND(N69&gt;100,N69&lt;=1000),N69*3%,IF(AND(N69&gt;10,N69&lt;=100),N69*5%,N69*8%))))</f>
        <v>167.685</v>
      </c>
      <c r="N83" s="53">
        <f ca="1">ROUND(M83,1)</f>
        <v>167.7</v>
      </c>
      <c r="O83" s="2760"/>
      <c r="P83" s="1911"/>
      <c r="Q83" s="1911"/>
      <c r="R83" s="1911"/>
      <c r="S83" s="1911"/>
      <c r="T83" s="1911"/>
      <c r="U83" s="1911"/>
      <c r="V83" s="1911"/>
    </row>
    <row r="84" spans="1:26" ht="12.75">
      <c r="A84" s="375" t="s">
        <v>1817</v>
      </c>
      <c r="B84" s="376" t="s">
        <v>429</v>
      </c>
      <c r="C84" s="377"/>
      <c r="D84" s="378" t="s">
        <v>19</v>
      </c>
      <c r="E84" s="2785" t="s">
        <v>2904</v>
      </c>
      <c r="F84" s="42"/>
      <c r="G84" s="42"/>
      <c r="H84" s="990"/>
      <c r="I84" s="309"/>
      <c r="J84" s="1911"/>
      <c r="K84" s="3431"/>
      <c r="L84" s="2767" t="s">
        <v>2853</v>
      </c>
      <c r="M84" s="2757">
        <f ca="1">IF(N69&gt;2000,N69*0.5%,IF(AND(N69&gt;1000,N69&lt;=2000),N69*0.6%,IF(AND(N69&gt;500,N69&lt;=1000),N69*0.7%,IF(AND(N69&gt;200,N69&lt;=500),N69*0.8%,IF(AND(N69&gt;100,N69&lt;=200),N69*0.9%,IF(AND(N69&gt;50,N69&lt;=100),N69*1%,IF(AND(N69&gt;20,N69&lt;=50),N69*1.5%,IF(AND(N69&gt;10,N69&lt;=20),N69*2%,IF(AND(N69&gt;1,N69&lt;=10),N69*2.5%)))))))))</f>
        <v>167.685</v>
      </c>
      <c r="N84" s="53">
        <f t="shared" ref="N84:N85" ca="1" si="2">ROUND(M84,1)</f>
        <v>167.7</v>
      </c>
      <c r="O84" s="1911" t="s">
        <v>2854</v>
      </c>
      <c r="P84" s="1911"/>
      <c r="Q84" s="1911"/>
      <c r="R84" s="1911"/>
      <c r="S84" s="1911"/>
      <c r="T84" s="1911"/>
      <c r="U84" s="1911"/>
      <c r="V84" s="1911"/>
    </row>
    <row r="85" spans="1:26" ht="12.75">
      <c r="A85" s="375" t="s">
        <v>1818</v>
      </c>
      <c r="B85" s="376" t="s">
        <v>430</v>
      </c>
      <c r="C85" s="379">
        <f ca="1">C81-C84</f>
        <v>25552</v>
      </c>
      <c r="D85" s="372" t="s">
        <v>19</v>
      </c>
      <c r="E85" s="373"/>
      <c r="F85" s="42"/>
      <c r="G85" s="42"/>
      <c r="H85" s="990"/>
      <c r="I85" s="309"/>
      <c r="J85" s="1911"/>
      <c r="K85" s="3431"/>
      <c r="L85" s="2767" t="s">
        <v>2855</v>
      </c>
      <c r="M85" s="2757">
        <f ca="1">IF(N69&gt;1000,N69*0.1%,IF(AND(N69&gt;500,N69&lt;=1000),N69*0.5%,IF(AND(N69&gt;50,N69&lt;=500),N69*1%,IF(AND(N69&gt;1,N69&lt;=50),N69*1.5%))))</f>
        <v>33.536999999999999</v>
      </c>
      <c r="N85" s="53">
        <f t="shared" ca="1" si="2"/>
        <v>33.5</v>
      </c>
      <c r="O85" s="1911" t="s">
        <v>2854</v>
      </c>
      <c r="P85" s="1911"/>
      <c r="Q85" s="1911"/>
      <c r="R85" s="1911"/>
      <c r="S85" s="1911"/>
      <c r="T85" s="1911"/>
      <c r="U85" s="1911"/>
      <c r="V85" s="1911"/>
    </row>
    <row r="86" spans="1:26" ht="13.5" thickBot="1">
      <c r="A86" s="380" t="s">
        <v>1819</v>
      </c>
      <c r="B86" s="381" t="s">
        <v>431</v>
      </c>
      <c r="C86" s="382">
        <f ca="1">IF(C85&lt;=0,0,ROUND(C85*D86,0))</f>
        <v>1405</v>
      </c>
      <c r="D86" s="383">
        <f>'数据-取费表'!B41</f>
        <v>5.5000000000000007E-2</v>
      </c>
      <c r="E86" s="384"/>
      <c r="F86" s="42"/>
      <c r="G86" s="42"/>
      <c r="H86" s="990"/>
      <c r="I86" s="309"/>
      <c r="J86" s="1911"/>
      <c r="K86" s="3431"/>
      <c r="L86" s="2767" t="s">
        <v>2856</v>
      </c>
      <c r="M86" s="2757">
        <f ca="1">N69*0.5%</f>
        <v>167.685</v>
      </c>
      <c r="N86" s="53">
        <f ca="1">IF(M86&gt;0.5,0.5,ROUND(M86,0))</f>
        <v>0.5</v>
      </c>
      <c r="O86" s="1911" t="s">
        <v>2857</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31"/>
      <c r="L87" s="2767" t="s">
        <v>2858</v>
      </c>
      <c r="M87" s="2757">
        <f ca="1">IF(N69&gt;=10000,(8.25+(N69-10000)*0.01%),IF(AND(N69&gt;=8000,N69&lt;10000),(7.85+(N69-8000)*0.02%),IF(AND(N69&gt;=5000,N69&lt;8000),(6.65+(N69-5000)*0.04%),IF(AND(N69&gt;=2000,N69&lt;5000),(4.25+(PN69-2000)*0.08%),IF(AND(N69&gt;=1000,N69&lt;2000),(2.75+(N69-1000)*0.15%),IF(AND(N69&gt;=100,N69&lt;1000),(0.5+(N69-100)*0.25%),IF(AND(N69&gt;0,N69&lt;100),N69*0.5%)))))))</f>
        <v>10.6037</v>
      </c>
      <c r="N87" s="53">
        <f ca="1">ROUND(M87*0.9,1)</f>
        <v>9.5</v>
      </c>
      <c r="O87" s="2760"/>
      <c r="P87" s="1911"/>
      <c r="Q87" s="1911"/>
      <c r="R87" s="1911"/>
      <c r="S87" s="1911"/>
      <c r="T87" s="1911"/>
      <c r="U87" s="1911"/>
      <c r="V87" s="1911"/>
      <c r="W87" s="290"/>
      <c r="X87" s="290"/>
      <c r="Y87" s="290"/>
      <c r="Z87" s="290"/>
    </row>
    <row r="88" spans="1:26" s="1267" customFormat="1" ht="15" thickBot="1">
      <c r="A88" s="3470" t="s">
        <v>432</v>
      </c>
      <c r="B88" s="3471"/>
      <c r="C88" s="3471"/>
      <c r="D88" s="3471"/>
      <c r="E88" s="3471"/>
      <c r="F88" s="3471"/>
      <c r="G88" s="3471"/>
      <c r="H88" s="3471"/>
      <c r="I88" s="1268"/>
      <c r="J88" s="1919"/>
      <c r="K88" s="3431"/>
      <c r="L88" s="2767" t="s">
        <v>2859</v>
      </c>
      <c r="M88" s="2757">
        <f ca="1">IF(N69&gt;10000,N69*0.5%,IF(AND(N69&gt;5000,N69&lt;=10000),N69*1%,IF(AND(N69&gt;1000,N69&lt;=5000),N69*2%,IF(AND(N69&gt;200,N69&lt;=1000),N69*3%,N69*5%))))</f>
        <v>167.685</v>
      </c>
      <c r="N88" s="53">
        <f ca="1">ROUND(M88,1)</f>
        <v>167.7</v>
      </c>
      <c r="O88" s="2760"/>
      <c r="P88" s="1916"/>
      <c r="Q88" s="1916"/>
      <c r="R88" s="1916"/>
      <c r="S88" s="1916"/>
      <c r="T88" s="1916"/>
      <c r="U88" s="1916"/>
      <c r="V88" s="1916"/>
      <c r="W88" s="1920"/>
      <c r="X88" s="1920"/>
      <c r="Y88" s="1920"/>
      <c r="Z88" s="1920"/>
    </row>
    <row r="89" spans="1:26" s="1267" customFormat="1" ht="14.25">
      <c r="A89" s="3429" t="s">
        <v>423</v>
      </c>
      <c r="B89" s="3430"/>
      <c r="C89" s="981"/>
      <c r="D89" s="981" t="s">
        <v>424</v>
      </c>
      <c r="E89" s="385" t="s">
        <v>433</v>
      </c>
      <c r="F89" s="386"/>
      <c r="G89" s="386"/>
      <c r="H89" s="387"/>
      <c r="I89" s="1269"/>
      <c r="J89" s="1921"/>
      <c r="K89" s="3431"/>
      <c r="L89" s="2767" t="s">
        <v>27</v>
      </c>
      <c r="M89" s="2758"/>
      <c r="N89" s="53">
        <f ca="1">ROUND(SUM(N83:N88),0)</f>
        <v>547</v>
      </c>
      <c r="O89" s="2768">
        <f ca="1">N89/N69</f>
        <v>1.6310343799385753E-2</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25552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128</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67" t="s">
        <v>441</v>
      </c>
      <c r="F94" s="3468"/>
      <c r="G94" s="3468"/>
      <c r="H94" s="3469"/>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128</v>
      </c>
      <c r="D96" s="400">
        <f>'数据-取费表'!B43</f>
        <v>5.000000000000001E-3</v>
      </c>
      <c r="E96" s="3426" t="s">
        <v>2413</v>
      </c>
      <c r="F96" s="3427"/>
      <c r="G96" s="3427"/>
      <c r="H96" s="3428"/>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25424</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198.625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15210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70" t="s">
        <v>448</v>
      </c>
      <c r="B101" s="3471"/>
      <c r="C101" s="3471"/>
      <c r="D101" s="3471"/>
      <c r="E101" s="3471"/>
      <c r="F101" s="3471"/>
      <c r="G101" s="3471"/>
      <c r="H101" s="3471"/>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29" t="s">
        <v>423</v>
      </c>
      <c r="B102" s="3430"/>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25552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1342</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1214</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f>ROUND(500*K38/10000,0)</f>
        <v>1178</v>
      </c>
      <c r="D106" s="400"/>
      <c r="E106" s="411" t="s">
        <v>451</v>
      </c>
      <c r="F106" s="973"/>
      <c r="G106" s="412" t="s">
        <v>452</v>
      </c>
      <c r="H106" s="413" t="s">
        <v>3186</v>
      </c>
      <c r="I106" s="11"/>
      <c r="J106" s="1916"/>
      <c r="K106" s="3241" t="s">
        <v>2987</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36</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82" t="s">
        <v>2958</v>
      </c>
      <c r="H108" s="3483"/>
      <c r="I108" s="2857"/>
      <c r="J108" s="1916"/>
      <c r="K108" s="3241" t="s">
        <v>2988</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60" t="s">
        <v>456</v>
      </c>
      <c r="F109" s="3427"/>
      <c r="G109" s="342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2">
        <v>0</v>
      </c>
      <c r="E110" s="3460" t="s">
        <v>458</v>
      </c>
      <c r="F110" s="3427"/>
      <c r="G110" s="3427"/>
      <c r="H110" s="3428"/>
      <c r="I110" s="11"/>
      <c r="J110" s="1916"/>
      <c r="K110" s="3242" t="s">
        <v>2989</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128</v>
      </c>
      <c r="D111" s="400">
        <f>'数据-取费表'!B43</f>
        <v>5.000000000000001E-3</v>
      </c>
      <c r="E111" s="3426" t="s">
        <v>2413</v>
      </c>
      <c r="F111" s="3427"/>
      <c r="G111" s="3427"/>
      <c r="H111" s="3428"/>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60" t="s">
        <v>2436</v>
      </c>
      <c r="F112" s="3427"/>
      <c r="G112" s="3427"/>
      <c r="H112" s="3428"/>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24210</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18.040238450074515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14056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B51" sqref="B51"/>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7" t="s">
        <v>461</v>
      </c>
      <c r="B2" s="502">
        <f>F68</f>
        <v>27025</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1675</v>
      </c>
      <c r="B3" s="504">
        <f>ROUND(B2*10000/'数据-汇总表'!E3,0)</f>
        <v>11474</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5" t="s">
        <v>514</v>
      </c>
      <c r="B4" s="421">
        <f>IF(B48="单位面积地价",C50,ROUND(B2*10000/'数据-汇总表'!D3,0))</f>
        <v>11474</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765</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21" t="s">
        <v>516</v>
      </c>
      <c r="D6" s="3522"/>
      <c r="E6" s="3521" t="s">
        <v>517</v>
      </c>
      <c r="F6" s="3522"/>
      <c r="G6" s="3521" t="s">
        <v>518</v>
      </c>
      <c r="H6" s="3522"/>
      <c r="I6" s="3521" t="s">
        <v>519</v>
      </c>
      <c r="J6" s="3522"/>
      <c r="K6" s="508" t="s">
        <v>520</v>
      </c>
      <c r="L6" s="2015"/>
      <c r="M6" s="2014"/>
      <c r="N6" s="2014"/>
      <c r="O6" s="2016"/>
      <c r="P6" s="3523" t="s">
        <v>521</v>
      </c>
      <c r="Q6" s="3524"/>
      <c r="R6" s="3509" t="s">
        <v>517</v>
      </c>
      <c r="S6" s="3510"/>
      <c r="T6" s="3509" t="s">
        <v>518</v>
      </c>
      <c r="U6" s="3510"/>
      <c r="V6" s="3529" t="s">
        <v>519</v>
      </c>
      <c r="W6" s="3529"/>
      <c r="X6" s="1501"/>
      <c r="Y6" s="3509" t="s">
        <v>521</v>
      </c>
      <c r="Z6" s="3510"/>
      <c r="AA6" s="3504" t="s">
        <v>517</v>
      </c>
      <c r="AB6" s="3505" t="s">
        <v>518</v>
      </c>
      <c r="AC6" s="3504" t="s">
        <v>519</v>
      </c>
    </row>
    <row r="7" spans="1:30" ht="36" customHeight="1" thickBot="1">
      <c r="A7" s="509"/>
      <c r="B7" s="510"/>
      <c r="C7" s="3532" t="s">
        <v>2893</v>
      </c>
      <c r="D7" s="3533"/>
      <c r="E7" s="3532" t="str">
        <f>Sheet2!A8</f>
        <v>高新技术单元07-R2-05地块</v>
      </c>
      <c r="F7" s="3533"/>
      <c r="G7" s="3532" t="str">
        <f>Sheet2!A11</f>
        <v>滨湖新城重点区块LA0607-15地块</v>
      </c>
      <c r="H7" s="3533"/>
      <c r="I7" s="3532" t="str">
        <f>Sheet2!A31</f>
        <v>临安区高新技术单元04-R2-01-01、04-R2-01-02地块</v>
      </c>
      <c r="J7" s="3533"/>
      <c r="K7" s="508"/>
      <c r="L7" s="2015"/>
      <c r="M7" s="2014"/>
      <c r="N7" s="2014"/>
      <c r="O7" s="2016"/>
      <c r="P7" s="3525"/>
      <c r="Q7" s="3526"/>
      <c r="R7" s="3511"/>
      <c r="S7" s="3512"/>
      <c r="T7" s="3511"/>
      <c r="U7" s="3512"/>
      <c r="V7" s="3529"/>
      <c r="W7" s="3529"/>
      <c r="X7" s="1501"/>
      <c r="Y7" s="3511"/>
      <c r="Z7" s="3512"/>
      <c r="AA7" s="3505"/>
      <c r="AB7" s="3505"/>
      <c r="AC7" s="3505"/>
    </row>
    <row r="8" spans="1:30" ht="21" hidden="1" thickBot="1">
      <c r="A8" s="509"/>
      <c r="B8" s="510"/>
      <c r="C8" s="3534" t="s">
        <v>2897</v>
      </c>
      <c r="D8" s="3535"/>
      <c r="E8" s="3534" t="s">
        <v>2897</v>
      </c>
      <c r="F8" s="3535"/>
      <c r="G8" s="3530" t="s">
        <v>2897</v>
      </c>
      <c r="H8" s="3531"/>
      <c r="I8" s="3530" t="s">
        <v>2897</v>
      </c>
      <c r="J8" s="3531"/>
      <c r="K8" s="508" t="s">
        <v>522</v>
      </c>
      <c r="L8" s="2015"/>
      <c r="M8" s="2014"/>
      <c r="N8" s="2014"/>
      <c r="O8" s="2016"/>
      <c r="P8" s="3527"/>
      <c r="Q8" s="3528"/>
      <c r="R8" s="3511"/>
      <c r="S8" s="3512"/>
      <c r="T8" s="3513"/>
      <c r="U8" s="3514"/>
      <c r="V8" s="3529"/>
      <c r="W8" s="3529"/>
      <c r="X8" s="1501"/>
      <c r="Y8" s="3513"/>
      <c r="Z8" s="3514"/>
      <c r="AA8" s="3506"/>
      <c r="AB8" s="3506"/>
      <c r="AC8" s="3506"/>
    </row>
    <row r="9" spans="1:30" s="1202" customFormat="1" ht="21" thickBot="1">
      <c r="A9" s="2628"/>
      <c r="B9" s="2635" t="s">
        <v>523</v>
      </c>
      <c r="C9" s="2627">
        <f>'数据-取费表'!B2</f>
        <v>44315</v>
      </c>
      <c r="D9" s="514">
        <v>100</v>
      </c>
      <c r="E9" s="515" t="str">
        <f>Sheet2!J8</f>
        <v>2020-06-22</v>
      </c>
      <c r="F9" s="516">
        <f>SUMIF(72:72,YEAR(E9)&amp;"-"&amp;INT((MONTH(E9)+2)/3),73:73)</f>
        <v>96</v>
      </c>
      <c r="G9" s="517" t="str">
        <f>Sheet2!J11</f>
        <v>2020-06-09</v>
      </c>
      <c r="H9" s="514">
        <f>SUMIF(72:72,YEAR(G9)&amp;"-"&amp;INT((MONTH(G9)+2)/3),73:73)</f>
        <v>96</v>
      </c>
      <c r="I9" s="517" t="str">
        <f>Sheet2!J31</f>
        <v>2019-06-14</v>
      </c>
      <c r="J9" s="514">
        <f>SUMIF(72:72,YEAR(I9)&amp;"-"&amp;INT((MONTH(I9)+2)/3),73:73)</f>
        <v>92</v>
      </c>
      <c r="K9" s="518"/>
      <c r="L9" s="2017"/>
      <c r="M9" s="2014"/>
      <c r="N9" s="2014"/>
      <c r="O9" s="2018"/>
      <c r="P9" s="3507" t="s">
        <v>524</v>
      </c>
      <c r="Q9" s="3516"/>
      <c r="R9" s="1502" t="s">
        <v>8</v>
      </c>
      <c r="S9" s="1503">
        <f t="shared" ref="S9:S17" si="0">F9</f>
        <v>96</v>
      </c>
      <c r="T9" s="1502" t="s">
        <v>8</v>
      </c>
      <c r="U9" s="1503">
        <f t="shared" ref="U9:U17" si="1">H9</f>
        <v>96</v>
      </c>
      <c r="V9" s="1502" t="s">
        <v>8</v>
      </c>
      <c r="W9" s="1503">
        <f t="shared" ref="W9:W17" si="2">J9</f>
        <v>92</v>
      </c>
      <c r="X9" s="1504"/>
      <c r="Y9" s="3507" t="s">
        <v>524</v>
      </c>
      <c r="Z9" s="3508"/>
      <c r="AA9" s="1505">
        <f>D9/F9</f>
        <v>1.0416666666666667</v>
      </c>
      <c r="AB9" s="1505">
        <f>D9/H9</f>
        <v>1.0416666666666667</v>
      </c>
      <c r="AC9" s="1505">
        <f>D9/J9</f>
        <v>1.0869565217391304</v>
      </c>
    </row>
    <row r="10" spans="1:30" s="1202" customFormat="1" ht="21" thickBot="1">
      <c r="A10" s="2629"/>
      <c r="B10" s="2636" t="s">
        <v>525</v>
      </c>
      <c r="C10" s="845" t="s">
        <v>526</v>
      </c>
      <c r="D10" s="514">
        <v>100</v>
      </c>
      <c r="E10" s="3285" t="s">
        <v>3024</v>
      </c>
      <c r="F10" s="516">
        <f>SUMIF(75:75,E10,76:76)-SUMIF(75:75,C10,76:76)+100</f>
        <v>100</v>
      </c>
      <c r="G10" s="3285" t="s">
        <v>3024</v>
      </c>
      <c r="H10" s="514">
        <f>SUMIF(75:75,G10,76:76)-SUMIF(75:75,C10,76:76)+100</f>
        <v>100</v>
      </c>
      <c r="I10" s="3285" t="s">
        <v>3024</v>
      </c>
      <c r="J10" s="514">
        <f>SUMIF(75:75,I10,76:76)-SUMIF(75:75,C10,76:76)+100</f>
        <v>100</v>
      </c>
      <c r="K10" s="518"/>
      <c r="L10" s="2017"/>
      <c r="M10" s="2014"/>
      <c r="N10" s="2014"/>
      <c r="O10" s="2018"/>
      <c r="P10" s="3507" t="s">
        <v>527</v>
      </c>
      <c r="Q10" s="3508"/>
      <c r="R10" s="1502" t="s">
        <v>8</v>
      </c>
      <c r="S10" s="1503">
        <f t="shared" si="0"/>
        <v>100</v>
      </c>
      <c r="T10" s="1502" t="s">
        <v>8</v>
      </c>
      <c r="U10" s="1503">
        <f t="shared" si="1"/>
        <v>100</v>
      </c>
      <c r="V10" s="1502" t="s">
        <v>8</v>
      </c>
      <c r="W10" s="1503">
        <f t="shared" si="2"/>
        <v>100</v>
      </c>
      <c r="X10" s="1504"/>
      <c r="Y10" s="3507" t="s">
        <v>527</v>
      </c>
      <c r="Z10" s="3508"/>
      <c r="AA10" s="1505">
        <f t="shared" ref="AA10:AA47" si="3">D10/F10</f>
        <v>1</v>
      </c>
      <c r="AB10" s="1505">
        <f t="shared" ref="AB10:AB47" si="4">D10/H10</f>
        <v>1</v>
      </c>
      <c r="AC10" s="1505">
        <f t="shared" ref="AC10:AC47" si="5">D10/J10</f>
        <v>1</v>
      </c>
    </row>
    <row r="11" spans="1:30" s="1202" customFormat="1" ht="20.25">
      <c r="A11" s="2630"/>
      <c r="B11" s="2637" t="s">
        <v>2736</v>
      </c>
      <c r="C11" s="3306" t="s">
        <v>3195</v>
      </c>
      <c r="D11" s="252">
        <v>100</v>
      </c>
      <c r="E11" s="3307" t="s">
        <v>3196</v>
      </c>
      <c r="F11" s="252">
        <f>SUMIF(77:77,E11,78:78)-SUMIF(77:77,C11,78:78)+100</f>
        <v>100</v>
      </c>
      <c r="G11" s="3307" t="s">
        <v>3196</v>
      </c>
      <c r="H11" s="252">
        <f>SUMIF(77:77,G11,78:78)-SUMIF(77:77,C11,78:78)+100</f>
        <v>100</v>
      </c>
      <c r="I11" s="3307" t="s">
        <v>3196</v>
      </c>
      <c r="J11" s="252">
        <f>SUMIF(77:77,I11,78:78)-SUMIF(77:77,C11,78:78)+100</f>
        <v>100</v>
      </c>
      <c r="K11" s="518"/>
      <c r="L11" s="2017"/>
      <c r="M11" s="2014"/>
      <c r="N11" s="2014"/>
      <c r="O11" s="2019"/>
      <c r="P11" s="3515" t="s">
        <v>529</v>
      </c>
      <c r="Q11" s="1133" t="str">
        <f t="shared" ref="Q11:Q17" si="6">B11</f>
        <v>用途</v>
      </c>
      <c r="R11" s="1502" t="s">
        <v>8</v>
      </c>
      <c r="S11" s="1503">
        <f t="shared" si="0"/>
        <v>100</v>
      </c>
      <c r="T11" s="1502" t="s">
        <v>8</v>
      </c>
      <c r="U11" s="1503">
        <f t="shared" si="1"/>
        <v>100</v>
      </c>
      <c r="V11" s="1502" t="s">
        <v>8</v>
      </c>
      <c r="W11" s="1503">
        <f t="shared" si="2"/>
        <v>100</v>
      </c>
      <c r="X11" s="1504"/>
      <c r="Y11" s="3466" t="s">
        <v>530</v>
      </c>
      <c r="Z11" s="1132" t="str">
        <f t="shared" ref="Z11:Z17" si="7">Q11</f>
        <v>用途</v>
      </c>
      <c r="AA11" s="1505">
        <f t="shared" si="3"/>
        <v>1</v>
      </c>
      <c r="AB11" s="1505">
        <f t="shared" si="4"/>
        <v>1</v>
      </c>
      <c r="AC11" s="1505">
        <f t="shared" si="5"/>
        <v>1</v>
      </c>
    </row>
    <row r="12" spans="1:30" s="1291" customFormat="1" ht="27">
      <c r="A12" s="2631"/>
      <c r="B12" s="2636" t="s">
        <v>2737</v>
      </c>
      <c r="C12" s="898">
        <f>项目基本情况!D19</f>
        <v>56.78</v>
      </c>
      <c r="D12" s="253">
        <v>100</v>
      </c>
      <c r="E12" s="523" t="s">
        <v>3197</v>
      </c>
      <c r="F12" s="253">
        <f>ROUND(100/'数据-取费表'!G16,0)</f>
        <v>104</v>
      </c>
      <c r="G12" s="524" t="s">
        <v>3197</v>
      </c>
      <c r="H12" s="253">
        <f>ROUND(100/'数据-取费表'!G16,0)</f>
        <v>104</v>
      </c>
      <c r="I12" s="524" t="s">
        <v>3197</v>
      </c>
      <c r="J12" s="253">
        <f>ROUND(100/'数据-取费表'!G16,0)</f>
        <v>104</v>
      </c>
      <c r="K12" s="525"/>
      <c r="L12" s="2020"/>
      <c r="M12" s="2014"/>
      <c r="N12" s="2014"/>
      <c r="O12" s="2021"/>
      <c r="P12" s="3515"/>
      <c r="Q12" s="1133" t="str">
        <f t="shared" si="6"/>
        <v>土地使用年限（年）</v>
      </c>
      <c r="R12" s="1502" t="s">
        <v>8</v>
      </c>
      <c r="S12" s="1503">
        <f t="shared" si="0"/>
        <v>104</v>
      </c>
      <c r="T12" s="1502" t="s">
        <v>8</v>
      </c>
      <c r="U12" s="1503">
        <f t="shared" si="1"/>
        <v>104</v>
      </c>
      <c r="V12" s="1502" t="s">
        <v>8</v>
      </c>
      <c r="W12" s="1503">
        <f t="shared" si="2"/>
        <v>104</v>
      </c>
      <c r="X12" s="1504"/>
      <c r="Y12" s="3466"/>
      <c r="Z12" s="1132" t="str">
        <f t="shared" si="7"/>
        <v>土地使用年限（年）</v>
      </c>
      <c r="AA12" s="1505">
        <f t="shared" si="3"/>
        <v>0.96153846153846156</v>
      </c>
      <c r="AB12" s="1505">
        <f t="shared" si="4"/>
        <v>0.96153846153846156</v>
      </c>
      <c r="AC12" s="1505">
        <f t="shared" si="5"/>
        <v>0.96153846153846156</v>
      </c>
    </row>
    <row r="13" spans="1:30" ht="21" thickBot="1">
      <c r="A13" s="2632"/>
      <c r="B13" s="2636" t="s">
        <v>2738</v>
      </c>
      <c r="C13" s="528">
        <v>1</v>
      </c>
      <c r="D13" s="253">
        <v>100</v>
      </c>
      <c r="E13" s="527">
        <v>1.2</v>
      </c>
      <c r="F13" s="253">
        <f>LOOKUP(E13,82:82,83:83)-LOOKUP(C13,82:82,83:83)+100</f>
        <v>100</v>
      </c>
      <c r="G13" s="528">
        <v>1.8</v>
      </c>
      <c r="H13" s="253">
        <f>LOOKUP(G13,82:82,83:83)-LOOKUP(C13,82:82,83:83)+100</f>
        <v>98</v>
      </c>
      <c r="I13" s="527">
        <v>1.2</v>
      </c>
      <c r="J13" s="253">
        <f>LOOKUP(I13,82:82,83:83)-LOOKUP(C13,82:82,83:83)+100</f>
        <v>100</v>
      </c>
      <c r="K13" s="529">
        <v>2</v>
      </c>
      <c r="L13" s="2022"/>
      <c r="M13" s="2014"/>
      <c r="N13" s="2014"/>
      <c r="O13" s="2023"/>
      <c r="P13" s="3515"/>
      <c r="Q13" s="1133" t="str">
        <f t="shared" si="6"/>
        <v>容积率</v>
      </c>
      <c r="R13" s="1502" t="s">
        <v>8</v>
      </c>
      <c r="S13" s="1503">
        <f t="shared" si="0"/>
        <v>100</v>
      </c>
      <c r="T13" s="1502" t="s">
        <v>8</v>
      </c>
      <c r="U13" s="1503">
        <f t="shared" si="1"/>
        <v>98</v>
      </c>
      <c r="V13" s="1502" t="s">
        <v>8</v>
      </c>
      <c r="W13" s="1503">
        <f t="shared" si="2"/>
        <v>100</v>
      </c>
      <c r="X13" s="1504"/>
      <c r="Y13" s="3466"/>
      <c r="Z13" s="1132" t="str">
        <f t="shared" si="7"/>
        <v>容积率</v>
      </c>
      <c r="AA13" s="1505">
        <f t="shared" si="3"/>
        <v>1</v>
      </c>
      <c r="AB13" s="1505">
        <f t="shared" si="4"/>
        <v>1.0204081632653061</v>
      </c>
      <c r="AC13" s="1505">
        <f t="shared" si="5"/>
        <v>1</v>
      </c>
    </row>
    <row r="14" spans="1:30" s="1202" customFormat="1" ht="20.25" hidden="1">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15"/>
      <c r="Q14" s="1133" t="str">
        <f t="shared" si="6"/>
        <v>配建</v>
      </c>
      <c r="R14" s="1502" t="s">
        <v>8</v>
      </c>
      <c r="S14" s="1503">
        <f t="shared" si="0"/>
        <v>100</v>
      </c>
      <c r="T14" s="1502" t="s">
        <v>8</v>
      </c>
      <c r="U14" s="1503">
        <f t="shared" si="1"/>
        <v>100</v>
      </c>
      <c r="V14" s="1502" t="s">
        <v>8</v>
      </c>
      <c r="W14" s="1503">
        <f t="shared" si="2"/>
        <v>100</v>
      </c>
      <c r="X14" s="1504"/>
      <c r="Y14" s="3466"/>
      <c r="Z14" s="1132" t="str">
        <f t="shared" si="7"/>
        <v>配建</v>
      </c>
      <c r="AA14" s="1505">
        <f>D14/F14</f>
        <v>1</v>
      </c>
      <c r="AB14" s="1505">
        <f>D14/H14</f>
        <v>1</v>
      </c>
      <c r="AC14" s="1505">
        <f>D14/J14</f>
        <v>1</v>
      </c>
    </row>
    <row r="15" spans="1:30" ht="20.25" hidden="1">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15"/>
      <c r="Q15" s="1133">
        <f t="shared" si="6"/>
        <v>111</v>
      </c>
      <c r="R15" s="1502" t="s">
        <v>8</v>
      </c>
      <c r="S15" s="1503">
        <f t="shared" si="0"/>
        <v>100</v>
      </c>
      <c r="T15" s="1502" t="s">
        <v>8</v>
      </c>
      <c r="U15" s="1503">
        <f t="shared" si="1"/>
        <v>100</v>
      </c>
      <c r="V15" s="1502" t="s">
        <v>8</v>
      </c>
      <c r="W15" s="1503">
        <f t="shared" si="2"/>
        <v>100</v>
      </c>
      <c r="X15" s="1504"/>
      <c r="Y15" s="3466"/>
      <c r="Z15" s="1132">
        <f t="shared" si="7"/>
        <v>111</v>
      </c>
      <c r="AA15" s="1505">
        <f>D15/F15</f>
        <v>1</v>
      </c>
      <c r="AB15" s="1505">
        <f>D15/H15</f>
        <v>1</v>
      </c>
      <c r="AC15" s="1505">
        <f>D15/J15</f>
        <v>1</v>
      </c>
    </row>
    <row r="16" spans="1:30" ht="21" hidden="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15"/>
      <c r="Q16" s="1133">
        <f t="shared" si="6"/>
        <v>111</v>
      </c>
      <c r="R16" s="1502" t="s">
        <v>8</v>
      </c>
      <c r="S16" s="1503">
        <f t="shared" si="0"/>
        <v>100</v>
      </c>
      <c r="T16" s="1502" t="s">
        <v>8</v>
      </c>
      <c r="U16" s="1503">
        <f t="shared" si="1"/>
        <v>100</v>
      </c>
      <c r="V16" s="1502" t="s">
        <v>8</v>
      </c>
      <c r="W16" s="1503">
        <f t="shared" si="2"/>
        <v>100</v>
      </c>
      <c r="X16" s="1504"/>
      <c r="Y16" s="3466"/>
      <c r="Z16" s="1132">
        <f t="shared" si="7"/>
        <v>111</v>
      </c>
      <c r="AA16" s="1505">
        <f>D16/F16</f>
        <v>1</v>
      </c>
      <c r="AB16" s="1505">
        <f>D16/H16</f>
        <v>1</v>
      </c>
      <c r="AC16" s="1505">
        <f>D16/J16</f>
        <v>1</v>
      </c>
    </row>
    <row r="17" spans="1:29" ht="20.25">
      <c r="A17" s="2626" t="s">
        <v>2734</v>
      </c>
      <c r="B17" s="572" t="s">
        <v>295</v>
      </c>
      <c r="C17" s="542" t="str">
        <f>估价对象房地状况!C15</f>
        <v>较好</v>
      </c>
      <c r="D17" s="545">
        <v>100</v>
      </c>
      <c r="E17" s="3312" t="s">
        <v>3203</v>
      </c>
      <c r="F17" s="543">
        <f>SUMIF(90:90,E18,91:91)-SUMIF(90:90,C18,91:91)+100</f>
        <v>100</v>
      </c>
      <c r="G17" s="3313" t="s">
        <v>3203</v>
      </c>
      <c r="H17" s="543">
        <f>SUMIF(90:90,G18,91:91)-SUMIF(90:90,C18,91:91)+100</f>
        <v>100</v>
      </c>
      <c r="I17" s="3312" t="s">
        <v>3203</v>
      </c>
      <c r="J17" s="543">
        <f>SUMIF(90:90,I18,91:91)-SUMIF(90:90,C18,91:91)+100</f>
        <v>100</v>
      </c>
      <c r="K17" s="529">
        <v>2</v>
      </c>
      <c r="L17" s="2024"/>
      <c r="M17" s="2014"/>
      <c r="N17" s="2014"/>
      <c r="O17" s="2023"/>
      <c r="P17" s="3517" t="s">
        <v>534</v>
      </c>
      <c r="Q17" s="1506" t="str">
        <f t="shared" si="6"/>
        <v>居住社区成熟度</v>
      </c>
      <c r="R17" s="1507" t="s">
        <v>8</v>
      </c>
      <c r="S17" s="1508">
        <f t="shared" si="0"/>
        <v>100</v>
      </c>
      <c r="T17" s="1507" t="s">
        <v>8</v>
      </c>
      <c r="U17" s="1508">
        <f t="shared" si="1"/>
        <v>100</v>
      </c>
      <c r="V17" s="1507" t="s">
        <v>8</v>
      </c>
      <c r="W17" s="1508">
        <f t="shared" si="2"/>
        <v>100</v>
      </c>
      <c r="X17" s="1501"/>
      <c r="Y17" s="3517" t="s">
        <v>534</v>
      </c>
      <c r="Z17" s="1509" t="str">
        <f t="shared" si="7"/>
        <v>居住社区成熟度</v>
      </c>
      <c r="AA17" s="1510">
        <f t="shared" si="3"/>
        <v>1</v>
      </c>
      <c r="AB17" s="1510">
        <f t="shared" si="4"/>
        <v>1</v>
      </c>
      <c r="AC17" s="1510">
        <f t="shared" si="5"/>
        <v>1</v>
      </c>
    </row>
    <row r="18" spans="1:29" ht="20.25" hidden="1">
      <c r="A18" s="526"/>
      <c r="B18" s="547"/>
      <c r="C18" s="3286" t="s">
        <v>3025</v>
      </c>
      <c r="D18" s="551"/>
      <c r="E18" s="3287" t="s">
        <v>3025</v>
      </c>
      <c r="F18" s="549"/>
      <c r="G18" s="3288" t="s">
        <v>3025</v>
      </c>
      <c r="H18" s="553"/>
      <c r="I18" s="3287" t="s">
        <v>3026</v>
      </c>
      <c r="J18" s="549"/>
      <c r="K18" s="525"/>
      <c r="L18" s="2024"/>
      <c r="M18" s="2014"/>
      <c r="N18" s="2014"/>
      <c r="O18" s="2023"/>
      <c r="P18" s="3518"/>
      <c r="Q18" s="1506"/>
      <c r="R18" s="1507"/>
      <c r="S18" s="1508"/>
      <c r="T18" s="1507"/>
      <c r="U18" s="1508"/>
      <c r="V18" s="1507"/>
      <c r="W18" s="1508"/>
      <c r="X18" s="1501"/>
      <c r="Y18" s="3518"/>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18"/>
      <c r="Q19" s="1506" t="str">
        <f>B19</f>
        <v>商业繁华度</v>
      </c>
      <c r="R19" s="1507" t="s">
        <v>8</v>
      </c>
      <c r="S19" s="1508">
        <f>F19</f>
        <v>100</v>
      </c>
      <c r="T19" s="1507" t="s">
        <v>8</v>
      </c>
      <c r="U19" s="1508">
        <f>H19</f>
        <v>100</v>
      </c>
      <c r="V19" s="1507" t="s">
        <v>8</v>
      </c>
      <c r="W19" s="1508">
        <f>J19</f>
        <v>100</v>
      </c>
      <c r="X19" s="1501"/>
      <c r="Y19" s="3518"/>
      <c r="Z19" s="1509" t="str">
        <f>Q19</f>
        <v>商业繁华度</v>
      </c>
      <c r="AA19" s="1510">
        <f t="shared" si="3"/>
        <v>1</v>
      </c>
      <c r="AB19" s="1510">
        <f t="shared" si="4"/>
        <v>1</v>
      </c>
      <c r="AC19" s="1510">
        <f t="shared" si="5"/>
        <v>1</v>
      </c>
    </row>
    <row r="20" spans="1:29" ht="20.25" hidden="1">
      <c r="A20" s="526"/>
      <c r="B20" s="560"/>
      <c r="C20" s="3289"/>
      <c r="D20" s="557"/>
      <c r="E20" s="3290"/>
      <c r="F20" s="553"/>
      <c r="G20" s="3291"/>
      <c r="H20" s="549"/>
      <c r="I20" s="3290"/>
      <c r="J20" s="549"/>
      <c r="K20" s="525"/>
      <c r="L20" s="2024"/>
      <c r="M20" s="2014"/>
      <c r="N20" s="2014"/>
      <c r="O20" s="2023"/>
      <c r="P20" s="3518"/>
      <c r="Q20" s="1506"/>
      <c r="R20" s="1507"/>
      <c r="S20" s="1508"/>
      <c r="T20" s="1507"/>
      <c r="U20" s="1508"/>
      <c r="V20" s="1507"/>
      <c r="W20" s="1508"/>
      <c r="X20" s="1501"/>
      <c r="Y20" s="3518"/>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18"/>
      <c r="Q21" s="1506" t="str">
        <f>B21</f>
        <v>办公集聚程度</v>
      </c>
      <c r="R21" s="1507" t="s">
        <v>8</v>
      </c>
      <c r="S21" s="1508">
        <f>F21</f>
        <v>100</v>
      </c>
      <c r="T21" s="1507" t="s">
        <v>8</v>
      </c>
      <c r="U21" s="1508">
        <f>H21</f>
        <v>100</v>
      </c>
      <c r="V21" s="1507" t="s">
        <v>8</v>
      </c>
      <c r="W21" s="1508">
        <f>J21</f>
        <v>100</v>
      </c>
      <c r="X21" s="1501"/>
      <c r="Y21" s="3518"/>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18"/>
      <c r="Q22" s="1506"/>
      <c r="R22" s="1507"/>
      <c r="S22" s="1508"/>
      <c r="T22" s="1507"/>
      <c r="U22" s="1508"/>
      <c r="V22" s="1507"/>
      <c r="W22" s="1508"/>
      <c r="X22" s="1501"/>
      <c r="Y22" s="3518"/>
      <c r="Z22" s="1509"/>
      <c r="AA22" s="1510">
        <v>1</v>
      </c>
      <c r="AB22" s="1510">
        <v>1</v>
      </c>
      <c r="AC22" s="1510">
        <v>1</v>
      </c>
    </row>
    <row r="23" spans="1:29" ht="20.25">
      <c r="A23" s="526"/>
      <c r="B23" s="554" t="s">
        <v>537</v>
      </c>
      <c r="C23" s="567" t="str">
        <f>估价对象房地状况!C18</f>
        <v>较差</v>
      </c>
      <c r="D23" s="557">
        <v>100</v>
      </c>
      <c r="E23" s="3314" t="s">
        <v>3203</v>
      </c>
      <c r="F23" s="559">
        <f>SUMIF(96:96,E24,97:97)-SUMIF(96:96,C24,97:97)+100</f>
        <v>104</v>
      </c>
      <c r="G23" s="3315" t="s">
        <v>3203</v>
      </c>
      <c r="H23" s="553">
        <f>SUMIF(96:96,G24,97:97)-SUMIF(96:96,C24,97:97)+100</f>
        <v>104</v>
      </c>
      <c r="I23" s="3314" t="s">
        <v>3203</v>
      </c>
      <c r="J23" s="553">
        <f>SUMIF(96:96,I24,97:97)-SUMIF(96:96,C24,97:97)+100</f>
        <v>104</v>
      </c>
      <c r="K23" s="529">
        <v>2</v>
      </c>
      <c r="L23" s="2024"/>
      <c r="M23" s="2014"/>
      <c r="N23" s="2014"/>
      <c r="O23" s="2023"/>
      <c r="P23" s="3518"/>
      <c r="Q23" s="1506" t="str">
        <f>B23</f>
        <v>交通便捷度</v>
      </c>
      <c r="R23" s="1507" t="s">
        <v>8</v>
      </c>
      <c r="S23" s="1508">
        <f>F23</f>
        <v>104</v>
      </c>
      <c r="T23" s="1507" t="s">
        <v>8</v>
      </c>
      <c r="U23" s="1508">
        <f>H23</f>
        <v>104</v>
      </c>
      <c r="V23" s="1507" t="s">
        <v>8</v>
      </c>
      <c r="W23" s="1508">
        <f>J23</f>
        <v>104</v>
      </c>
      <c r="X23" s="1501"/>
      <c r="Y23" s="3518"/>
      <c r="Z23" s="1509" t="str">
        <f>Q23</f>
        <v>交通便捷度</v>
      </c>
      <c r="AA23" s="1510">
        <f t="shared" si="3"/>
        <v>0.96153846153846156</v>
      </c>
      <c r="AB23" s="1510">
        <f t="shared" si="4"/>
        <v>0.96153846153846156</v>
      </c>
      <c r="AC23" s="1510">
        <f t="shared" si="5"/>
        <v>0.96153846153846156</v>
      </c>
    </row>
    <row r="24" spans="1:29" ht="20.25" hidden="1">
      <c r="A24" s="526"/>
      <c r="B24" s="572"/>
      <c r="C24" s="3286" t="s">
        <v>3029</v>
      </c>
      <c r="D24" s="551"/>
      <c r="E24" s="3287" t="s">
        <v>3025</v>
      </c>
      <c r="F24" s="549"/>
      <c r="G24" s="3288" t="s">
        <v>3025</v>
      </c>
      <c r="H24" s="549"/>
      <c r="I24" s="3287" t="s">
        <v>3025</v>
      </c>
      <c r="J24" s="549"/>
      <c r="K24" s="525"/>
      <c r="L24" s="2024"/>
      <c r="M24" s="2014"/>
      <c r="N24" s="2014"/>
      <c r="O24" s="2023"/>
      <c r="P24" s="3518"/>
      <c r="Q24" s="1506"/>
      <c r="R24" s="1507"/>
      <c r="S24" s="1508"/>
      <c r="T24" s="1507"/>
      <c r="U24" s="1508"/>
      <c r="V24" s="1507"/>
      <c r="W24" s="1508"/>
      <c r="X24" s="1501"/>
      <c r="Y24" s="3518"/>
      <c r="Z24" s="1509"/>
      <c r="AA24" s="1510">
        <v>1</v>
      </c>
      <c r="AB24" s="1510">
        <v>1</v>
      </c>
      <c r="AC24" s="1510">
        <v>1</v>
      </c>
    </row>
    <row r="25" spans="1:29" ht="27">
      <c r="A25" s="509"/>
      <c r="B25" s="257" t="s">
        <v>538</v>
      </c>
      <c r="C25" s="567" t="str">
        <f>估价对象房地状况!C19</f>
        <v>较好</v>
      </c>
      <c r="D25" s="557">
        <v>100</v>
      </c>
      <c r="E25" s="3314" t="s">
        <v>3203</v>
      </c>
      <c r="F25" s="559">
        <f>SUMIF(98:98,E26,99:99)-SUMIF(98:98,C26,99:99)+100</f>
        <v>100</v>
      </c>
      <c r="G25" s="3315" t="s">
        <v>3203</v>
      </c>
      <c r="H25" s="553">
        <f>SUMIF(98:98,G26,99:99)-SUMIF(98:98,C26,99:99)+100</f>
        <v>100</v>
      </c>
      <c r="I25" s="3314" t="s">
        <v>3203</v>
      </c>
      <c r="J25" s="553">
        <f>SUMIF(98:98,I26,99:99)-SUMIF(98:98,C26,99:99)+100</f>
        <v>100</v>
      </c>
      <c r="K25" s="529">
        <v>2</v>
      </c>
      <c r="L25" s="2024"/>
      <c r="M25" s="2014"/>
      <c r="N25" s="2014"/>
      <c r="O25" s="2023"/>
      <c r="P25" s="3518"/>
      <c r="Q25" s="1506" t="str">
        <f t="shared" ref="Q25:Q39" si="8">B25</f>
        <v>区域土地利用方向</v>
      </c>
      <c r="R25" s="1507" t="s">
        <v>8</v>
      </c>
      <c r="S25" s="1508">
        <f>F25</f>
        <v>100</v>
      </c>
      <c r="T25" s="1507" t="s">
        <v>8</v>
      </c>
      <c r="U25" s="1508">
        <f>H25</f>
        <v>100</v>
      </c>
      <c r="V25" s="1507" t="s">
        <v>8</v>
      </c>
      <c r="W25" s="1508">
        <f>J25</f>
        <v>100</v>
      </c>
      <c r="X25" s="1501"/>
      <c r="Y25" s="3518"/>
      <c r="Z25" s="1509" t="str">
        <f>Q25</f>
        <v>区域土地利用方向</v>
      </c>
      <c r="AA25" s="1510">
        <f t="shared" si="3"/>
        <v>1</v>
      </c>
      <c r="AB25" s="1510">
        <f t="shared" si="4"/>
        <v>1</v>
      </c>
      <c r="AC25" s="1510">
        <f t="shared" si="5"/>
        <v>1</v>
      </c>
    </row>
    <row r="26" spans="1:29" ht="20.25" hidden="1">
      <c r="A26" s="509"/>
      <c r="B26" s="993"/>
      <c r="C26" s="3286" t="s">
        <v>3025</v>
      </c>
      <c r="D26" s="551"/>
      <c r="E26" s="3287" t="s">
        <v>3025</v>
      </c>
      <c r="F26" s="549"/>
      <c r="G26" s="3288" t="s">
        <v>3025</v>
      </c>
      <c r="H26" s="549"/>
      <c r="I26" s="3287" t="s">
        <v>3025</v>
      </c>
      <c r="J26" s="549"/>
      <c r="K26" s="525"/>
      <c r="L26" s="2024"/>
      <c r="M26" s="2014"/>
      <c r="N26" s="2014"/>
      <c r="O26" s="2023"/>
      <c r="P26" s="3518"/>
      <c r="Q26" s="1506"/>
      <c r="R26" s="1507"/>
      <c r="S26" s="1508"/>
      <c r="T26" s="1507"/>
      <c r="U26" s="1508"/>
      <c r="V26" s="1507"/>
      <c r="W26" s="1508"/>
      <c r="X26" s="1501"/>
      <c r="Y26" s="3518"/>
      <c r="Z26" s="1509"/>
      <c r="AA26" s="1510"/>
      <c r="AB26" s="1510"/>
      <c r="AC26" s="1510"/>
    </row>
    <row r="27" spans="1:29" ht="27">
      <c r="A27" s="509"/>
      <c r="B27" s="572" t="s">
        <v>539</v>
      </c>
      <c r="C27" s="555" t="str">
        <f>估价对象房地状况!C20</f>
        <v>一般</v>
      </c>
      <c r="D27" s="557">
        <v>100</v>
      </c>
      <c r="E27" s="3314" t="s">
        <v>3204</v>
      </c>
      <c r="F27" s="553">
        <f>SUMIF(100:100,E28,101:101)-SUMIF(100:100,C28,101:101)+100</f>
        <v>100</v>
      </c>
      <c r="G27" s="3315" t="s">
        <v>3204</v>
      </c>
      <c r="H27" s="553">
        <f>SUMIF(100:100,G28,101:101)-SUMIF(100:100,C28,101:101)+100</f>
        <v>100</v>
      </c>
      <c r="I27" s="3314" t="s">
        <v>3204</v>
      </c>
      <c r="J27" s="553">
        <f>SUMIF(100:100,I28,101:101)-SUMIF(100:100,C28,101:101)+100</f>
        <v>100</v>
      </c>
      <c r="K27" s="529">
        <v>2</v>
      </c>
      <c r="L27" s="2024"/>
      <c r="M27" s="2014"/>
      <c r="N27" s="2014"/>
      <c r="O27" s="2023"/>
      <c r="P27" s="3518"/>
      <c r="Q27" s="1506" t="str">
        <f t="shared" si="8"/>
        <v>自然及人文环境状况</v>
      </c>
      <c r="R27" s="1507" t="s">
        <v>8</v>
      </c>
      <c r="S27" s="1508">
        <f>F27</f>
        <v>100</v>
      </c>
      <c r="T27" s="1507" t="s">
        <v>8</v>
      </c>
      <c r="U27" s="1508">
        <f>H27</f>
        <v>100</v>
      </c>
      <c r="V27" s="1507" t="s">
        <v>8</v>
      </c>
      <c r="W27" s="1508">
        <f>J27</f>
        <v>100</v>
      </c>
      <c r="X27" s="1501"/>
      <c r="Y27" s="3518"/>
      <c r="Z27" s="1509" t="str">
        <f>Q27</f>
        <v>自然及人文环境状况</v>
      </c>
      <c r="AA27" s="1510">
        <f t="shared" si="3"/>
        <v>1</v>
      </c>
      <c r="AB27" s="1510">
        <f t="shared" si="4"/>
        <v>1</v>
      </c>
      <c r="AC27" s="1510">
        <f t="shared" si="5"/>
        <v>1</v>
      </c>
    </row>
    <row r="28" spans="1:29" ht="20.25" hidden="1">
      <c r="A28" s="509"/>
      <c r="B28" s="560"/>
      <c r="C28" s="3286" t="s">
        <v>3028</v>
      </c>
      <c r="D28" s="551"/>
      <c r="E28" s="3292" t="s">
        <v>3028</v>
      </c>
      <c r="F28" s="549"/>
      <c r="G28" s="3286" t="s">
        <v>3028</v>
      </c>
      <c r="H28" s="549"/>
      <c r="I28" s="3292" t="s">
        <v>3028</v>
      </c>
      <c r="J28" s="549"/>
      <c r="K28" s="525"/>
      <c r="L28" s="2024"/>
      <c r="M28" s="2014"/>
      <c r="N28" s="2014"/>
      <c r="O28" s="2023"/>
      <c r="P28" s="3518"/>
      <c r="Q28" s="1506"/>
      <c r="R28" s="1507"/>
      <c r="S28" s="1508"/>
      <c r="T28" s="1507"/>
      <c r="U28" s="1508"/>
      <c r="V28" s="1507"/>
      <c r="W28" s="1508"/>
      <c r="X28" s="1501"/>
      <c r="Y28" s="3518"/>
      <c r="Z28" s="1509"/>
      <c r="AA28" s="1510">
        <v>1</v>
      </c>
      <c r="AB28" s="1510">
        <v>1</v>
      </c>
      <c r="AC28" s="1510">
        <v>1</v>
      </c>
    </row>
    <row r="29" spans="1:29" s="1202" customFormat="1" ht="20.25">
      <c r="A29" s="571"/>
      <c r="B29" s="2435" t="s">
        <v>2529</v>
      </c>
      <c r="C29" s="567" t="str">
        <f>估价对象房地状况!C21</f>
        <v>较差</v>
      </c>
      <c r="D29" s="557">
        <v>100</v>
      </c>
      <c r="E29" s="3314" t="s">
        <v>3204</v>
      </c>
      <c r="F29" s="553">
        <f>SUMIF(102:102,E30,103:103)-SUMIF(102:102,C30,103:103)+100</f>
        <v>101</v>
      </c>
      <c r="G29" s="3315" t="s">
        <v>3204</v>
      </c>
      <c r="H29" s="553">
        <f>SUMIF(102:102,G30,103:103)-SUMIF(102:102,C30,103:103)+100</f>
        <v>101</v>
      </c>
      <c r="I29" s="3314" t="s">
        <v>3204</v>
      </c>
      <c r="J29" s="553">
        <f>SUMIF(102:102,I30,103:103)-SUMIF(102:102,C30,103:103)+100</f>
        <v>101</v>
      </c>
      <c r="K29" s="529">
        <v>1</v>
      </c>
      <c r="L29" s="2017"/>
      <c r="M29" s="2014"/>
      <c r="N29" s="2014"/>
      <c r="O29" s="2019"/>
      <c r="P29" s="3518"/>
      <c r="Q29" s="1133" t="str">
        <f t="shared" si="8"/>
        <v>公共配套设施</v>
      </c>
      <c r="R29" s="1502" t="s">
        <v>8</v>
      </c>
      <c r="S29" s="1503">
        <f>F29</f>
        <v>101</v>
      </c>
      <c r="T29" s="1502" t="s">
        <v>8</v>
      </c>
      <c r="U29" s="1503">
        <f>H29</f>
        <v>101</v>
      </c>
      <c r="V29" s="1502" t="s">
        <v>8</v>
      </c>
      <c r="W29" s="1503">
        <f>J29</f>
        <v>101</v>
      </c>
      <c r="X29" s="1504"/>
      <c r="Y29" s="3518"/>
      <c r="Z29" s="1132" t="str">
        <f>Q29</f>
        <v>公共配套设施</v>
      </c>
      <c r="AA29" s="1510">
        <f>D29/F29</f>
        <v>0.99009900990099009</v>
      </c>
      <c r="AB29" s="1510">
        <f>D29/H29</f>
        <v>0.99009900990099009</v>
      </c>
      <c r="AC29" s="1510">
        <f>D29/J29</f>
        <v>0.99009900990099009</v>
      </c>
    </row>
    <row r="30" spans="1:29" s="1202" customFormat="1" ht="20.25" hidden="1">
      <c r="A30" s="571"/>
      <c r="B30" s="560"/>
      <c r="C30" s="3293" t="s">
        <v>3027</v>
      </c>
      <c r="D30" s="551"/>
      <c r="E30" s="3292" t="s">
        <v>3028</v>
      </c>
      <c r="F30" s="549"/>
      <c r="G30" s="3286" t="s">
        <v>3031</v>
      </c>
      <c r="H30" s="549"/>
      <c r="I30" s="3292" t="s">
        <v>3028</v>
      </c>
      <c r="J30" s="549"/>
      <c r="K30" s="525"/>
      <c r="L30" s="2017"/>
      <c r="M30" s="2014"/>
      <c r="N30" s="2014"/>
      <c r="O30" s="2019"/>
      <c r="P30" s="3518"/>
      <c r="Q30" s="1133"/>
      <c r="R30" s="1502"/>
      <c r="S30" s="1503"/>
      <c r="T30" s="1502"/>
      <c r="U30" s="1503"/>
      <c r="V30" s="1502"/>
      <c r="W30" s="1503"/>
      <c r="X30" s="1504"/>
      <c r="Y30" s="3518"/>
      <c r="Z30" s="1132"/>
      <c r="AA30" s="1510">
        <v>1</v>
      </c>
      <c r="AB30" s="1510">
        <v>1</v>
      </c>
      <c r="AC30" s="1510">
        <v>1</v>
      </c>
    </row>
    <row r="31" spans="1:29" s="1202" customFormat="1" ht="21" thickBot="1">
      <c r="A31" s="571"/>
      <c r="B31" s="2435" t="s">
        <v>2530</v>
      </c>
      <c r="C31" s="567" t="str">
        <f>估价对象房地状况!C22</f>
        <v>六通</v>
      </c>
      <c r="D31" s="557">
        <v>100</v>
      </c>
      <c r="E31" s="3314" t="s">
        <v>3205</v>
      </c>
      <c r="F31" s="553">
        <f>SUMIF(104:104,E32,105:105)-SUMIF(104:104,C32,105:105)+100</f>
        <v>100</v>
      </c>
      <c r="G31" s="3315" t="s">
        <v>3205</v>
      </c>
      <c r="H31" s="553">
        <f>SUMIF(104:104,G32,105:105)-SUMIF(104:104,C32,105:105)+100</f>
        <v>100</v>
      </c>
      <c r="I31" s="3314" t="s">
        <v>3205</v>
      </c>
      <c r="J31" s="553">
        <f>SUMIF(104:104,I32,105:105)-SUMIF(104:104,C32,105:105)+100</f>
        <v>100</v>
      </c>
      <c r="K31" s="529">
        <v>2</v>
      </c>
      <c r="L31" s="2017"/>
      <c r="M31" s="2014"/>
      <c r="N31" s="2014"/>
      <c r="O31" s="2019"/>
      <c r="P31" s="3518"/>
      <c r="Q31" s="2428" t="str">
        <f t="shared" ref="Q31" si="9">B31</f>
        <v>基础设施水平</v>
      </c>
      <c r="R31" s="1502" t="s">
        <v>8</v>
      </c>
      <c r="S31" s="1503">
        <f>F31</f>
        <v>100</v>
      </c>
      <c r="T31" s="1502" t="s">
        <v>8</v>
      </c>
      <c r="U31" s="1503">
        <f>H31</f>
        <v>100</v>
      </c>
      <c r="V31" s="1502" t="s">
        <v>8</v>
      </c>
      <c r="W31" s="1503">
        <f>J31</f>
        <v>100</v>
      </c>
      <c r="X31" s="1504"/>
      <c r="Y31" s="3518"/>
      <c r="Z31" s="2427" t="str">
        <f>Q31</f>
        <v>基础设施水平</v>
      </c>
      <c r="AA31" s="1510">
        <f>D31/F31</f>
        <v>1</v>
      </c>
      <c r="AB31" s="1510">
        <f>D31/H31</f>
        <v>1</v>
      </c>
      <c r="AC31" s="1510">
        <f>D31/J31</f>
        <v>1</v>
      </c>
    </row>
    <row r="32" spans="1:29" s="1202" customFormat="1" ht="21" hidden="1" thickBot="1">
      <c r="A32" s="571"/>
      <c r="B32" s="560"/>
      <c r="C32" s="3293" t="s">
        <v>3030</v>
      </c>
      <c r="D32" s="551"/>
      <c r="E32" s="3305" t="s">
        <v>3030</v>
      </c>
      <c r="F32" s="549"/>
      <c r="G32" s="3293" t="s">
        <v>3030</v>
      </c>
      <c r="H32" s="549"/>
      <c r="I32" s="3293" t="s">
        <v>3030</v>
      </c>
      <c r="J32" s="549"/>
      <c r="K32" s="525"/>
      <c r="L32" s="2017"/>
      <c r="M32" s="2014"/>
      <c r="N32" s="2014"/>
      <c r="O32" s="2019"/>
      <c r="P32" s="3518"/>
      <c r="Q32" s="2428"/>
      <c r="R32" s="1502"/>
      <c r="S32" s="1503"/>
      <c r="T32" s="1502"/>
      <c r="U32" s="1503"/>
      <c r="V32" s="1502"/>
      <c r="W32" s="1503"/>
      <c r="X32" s="1504"/>
      <c r="Y32" s="3518"/>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4"/>
      <c r="M33" s="2014"/>
      <c r="N33" s="2014"/>
      <c r="O33" s="2023"/>
      <c r="P33" s="3518"/>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8"/>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518"/>
      <c r="Q34" s="1506" t="str">
        <f t="shared" si="8"/>
        <v>毗邻道路的类型与等级</v>
      </c>
      <c r="R34" s="1507" t="s">
        <v>8</v>
      </c>
      <c r="S34" s="1508">
        <f t="shared" si="10"/>
        <v>100</v>
      </c>
      <c r="T34" s="1507" t="s">
        <v>8</v>
      </c>
      <c r="U34" s="1508">
        <f t="shared" si="11"/>
        <v>100</v>
      </c>
      <c r="V34" s="1507" t="s">
        <v>8</v>
      </c>
      <c r="W34" s="1508">
        <f t="shared" si="12"/>
        <v>100</v>
      </c>
      <c r="X34" s="1501"/>
      <c r="Y34" s="3518"/>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518"/>
      <c r="Q35" s="1506"/>
      <c r="R35" s="1507"/>
      <c r="S35" s="1508"/>
      <c r="T35" s="1507"/>
      <c r="U35" s="1508"/>
      <c r="V35" s="1507"/>
      <c r="W35" s="1508"/>
      <c r="X35" s="1501"/>
      <c r="Y35" s="3518"/>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18"/>
      <c r="Q36" s="1506" t="str">
        <f t="shared" si="8"/>
        <v>土地级别</v>
      </c>
      <c r="R36" s="1507" t="s">
        <v>8</v>
      </c>
      <c r="S36" s="1508">
        <f t="shared" si="10"/>
        <v>100</v>
      </c>
      <c r="T36" s="1507" t="s">
        <v>8</v>
      </c>
      <c r="U36" s="1508">
        <f t="shared" si="11"/>
        <v>100</v>
      </c>
      <c r="V36" s="1507" t="s">
        <v>8</v>
      </c>
      <c r="W36" s="1508">
        <f t="shared" si="12"/>
        <v>100</v>
      </c>
      <c r="X36" s="1501"/>
      <c r="Y36" s="3518"/>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18"/>
      <c r="Q37" s="1506">
        <f t="shared" si="8"/>
        <v>111</v>
      </c>
      <c r="R37" s="1507" t="s">
        <v>8</v>
      </c>
      <c r="S37" s="1508">
        <f t="shared" si="10"/>
        <v>100</v>
      </c>
      <c r="T37" s="1507" t="s">
        <v>8</v>
      </c>
      <c r="U37" s="1508">
        <f t="shared" si="11"/>
        <v>100</v>
      </c>
      <c r="V37" s="1507" t="s">
        <v>8</v>
      </c>
      <c r="W37" s="1508">
        <f t="shared" si="12"/>
        <v>100</v>
      </c>
      <c r="X37" s="1501"/>
      <c r="Y37" s="3518"/>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9" t="s">
        <v>544</v>
      </c>
      <c r="Q38" s="1506">
        <f t="shared" si="8"/>
        <v>111</v>
      </c>
      <c r="R38" s="1507" t="s">
        <v>8</v>
      </c>
      <c r="S38" s="1508">
        <f t="shared" si="10"/>
        <v>100</v>
      </c>
      <c r="T38" s="1507" t="s">
        <v>8</v>
      </c>
      <c r="U38" s="1508">
        <f t="shared" si="11"/>
        <v>100</v>
      </c>
      <c r="V38" s="1507" t="s">
        <v>8</v>
      </c>
      <c r="W38" s="1508">
        <f t="shared" si="12"/>
        <v>100</v>
      </c>
      <c r="X38" s="1501"/>
      <c r="Y38" s="3520"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0"/>
      <c r="Q39" s="1506">
        <f t="shared" si="8"/>
        <v>111</v>
      </c>
      <c r="R39" s="1511" t="s">
        <v>8</v>
      </c>
      <c r="S39" s="1512">
        <f t="shared" si="10"/>
        <v>100</v>
      </c>
      <c r="T39" s="1511" t="s">
        <v>8</v>
      </c>
      <c r="U39" s="1512">
        <f t="shared" si="11"/>
        <v>100</v>
      </c>
      <c r="V39" s="1511" t="s">
        <v>8</v>
      </c>
      <c r="W39" s="1512">
        <f t="shared" si="12"/>
        <v>100</v>
      </c>
      <c r="X39" s="1513"/>
      <c r="Y39" s="3520"/>
      <c r="Z39" s="1514">
        <f t="shared" si="13"/>
        <v>111</v>
      </c>
      <c r="AA39" s="1510">
        <f t="shared" si="3"/>
        <v>1</v>
      </c>
      <c r="AB39" s="1510">
        <f t="shared" si="4"/>
        <v>1</v>
      </c>
      <c r="AC39" s="1510">
        <f t="shared" si="5"/>
        <v>1</v>
      </c>
    </row>
    <row r="40" spans="1:29" ht="20.25">
      <c r="A40" s="2624" t="s">
        <v>2735</v>
      </c>
      <c r="B40" s="589" t="s">
        <v>546</v>
      </c>
      <c r="C40" s="590">
        <f>'数据-基础表'!A3</f>
        <v>23553.4</v>
      </c>
      <c r="D40" s="591">
        <v>100</v>
      </c>
      <c r="E40" s="590">
        <f>Sheet2!D8</f>
        <v>33155</v>
      </c>
      <c r="F40" s="591">
        <f>LOOKUP(E40,119:119,120:120)-LOOKUP(C40,119:119,120:120)+100</f>
        <v>100</v>
      </c>
      <c r="G40" s="590">
        <f>Sheet2!D11</f>
        <v>85868</v>
      </c>
      <c r="H40" s="591">
        <f>LOOKUP(G40,119:119,120:120)-LOOKUP(C40,119:119,120:120)+100</f>
        <v>103</v>
      </c>
      <c r="I40" s="592">
        <f>Sheet2!D31</f>
        <v>35663</v>
      </c>
      <c r="J40" s="591">
        <f>LOOKUP(I40,119:119,120:120)-LOOKUP(C40,119:119,120:120)+100</f>
        <v>100</v>
      </c>
      <c r="K40" s="575"/>
      <c r="L40" s="2024"/>
      <c r="M40" s="2014"/>
      <c r="N40" s="2014"/>
      <c r="O40" s="2023"/>
      <c r="P40" s="3520"/>
      <c r="Q40" s="1506" t="str">
        <f>B40</f>
        <v>宗地面积</v>
      </c>
      <c r="R40" s="1507" t="s">
        <v>8</v>
      </c>
      <c r="S40" s="1508">
        <f t="shared" si="10"/>
        <v>100</v>
      </c>
      <c r="T40" s="1507" t="s">
        <v>8</v>
      </c>
      <c r="U40" s="1508">
        <f t="shared" si="11"/>
        <v>103</v>
      </c>
      <c r="V40" s="1507" t="s">
        <v>8</v>
      </c>
      <c r="W40" s="1508">
        <f t="shared" si="12"/>
        <v>100</v>
      </c>
      <c r="X40" s="1501"/>
      <c r="Y40" s="3520"/>
      <c r="Z40" s="1509" t="str">
        <f t="shared" si="13"/>
        <v>宗地面积</v>
      </c>
      <c r="AA40" s="1510">
        <f t="shared" si="3"/>
        <v>1</v>
      </c>
      <c r="AB40" s="1510">
        <f t="shared" si="4"/>
        <v>0.970873786407767</v>
      </c>
      <c r="AC40" s="1510">
        <f t="shared" si="5"/>
        <v>1</v>
      </c>
    </row>
    <row r="41" spans="1:29" ht="20.25">
      <c r="A41" s="588"/>
      <c r="B41" s="521" t="s">
        <v>547</v>
      </c>
      <c r="C41" s="3316" t="s">
        <v>3206</v>
      </c>
      <c r="D41" s="534">
        <v>100</v>
      </c>
      <c r="E41" s="3316" t="s">
        <v>3206</v>
      </c>
      <c r="F41" s="534">
        <f>SUMIF(121:121,E41,122:122)-SUMIF(121:121,C41,122:122)+100</f>
        <v>100</v>
      </c>
      <c r="G41" s="3316" t="s">
        <v>3206</v>
      </c>
      <c r="H41" s="534">
        <f>SUMIF(121:121,G41,122:122)-SUMIF(121:121,C41,122:122)+100</f>
        <v>100</v>
      </c>
      <c r="I41" s="3316" t="s">
        <v>3206</v>
      </c>
      <c r="J41" s="534">
        <f>SUMIF(121:121,I41,122:122)-SUMIF(121:121,C41,122:122)+100</f>
        <v>100</v>
      </c>
      <c r="K41" s="578">
        <v>2</v>
      </c>
      <c r="L41" s="2024"/>
      <c r="M41" s="2014"/>
      <c r="N41" s="2014"/>
      <c r="O41" s="2023"/>
      <c r="P41" s="3520"/>
      <c r="Q41" s="1506" t="str">
        <f t="shared" ref="Q41:Q47" si="14">B41</f>
        <v>宗地形状</v>
      </c>
      <c r="R41" s="1507" t="s">
        <v>8</v>
      </c>
      <c r="S41" s="1508">
        <f t="shared" si="10"/>
        <v>100</v>
      </c>
      <c r="T41" s="1507" t="s">
        <v>8</v>
      </c>
      <c r="U41" s="1508">
        <f t="shared" si="11"/>
        <v>100</v>
      </c>
      <c r="V41" s="1507" t="s">
        <v>8</v>
      </c>
      <c r="W41" s="1508">
        <f t="shared" si="12"/>
        <v>100</v>
      </c>
      <c r="X41" s="1501"/>
      <c r="Y41" s="3520"/>
      <c r="Z41" s="1509" t="str">
        <f t="shared" si="13"/>
        <v>宗地形状</v>
      </c>
      <c r="AA41" s="1510">
        <f t="shared" si="3"/>
        <v>1</v>
      </c>
      <c r="AB41" s="1510">
        <f t="shared" si="4"/>
        <v>1</v>
      </c>
      <c r="AC41" s="1510">
        <f t="shared" si="5"/>
        <v>1</v>
      </c>
    </row>
    <row r="42" spans="1:29" ht="20.25">
      <c r="A42" s="588"/>
      <c r="B42" s="521" t="s">
        <v>548</v>
      </c>
      <c r="C42" s="3316" t="s">
        <v>3203</v>
      </c>
      <c r="D42" s="534">
        <v>100</v>
      </c>
      <c r="E42" s="3316" t="s">
        <v>3203</v>
      </c>
      <c r="F42" s="534">
        <f>SUMIF(123:123,E42,124:124)-SUMIF(123:123,C42,124:124)+100</f>
        <v>100</v>
      </c>
      <c r="G42" s="3316" t="s">
        <v>3203</v>
      </c>
      <c r="H42" s="534">
        <f>SUMIF(123:123,G42,124:124)-SUMIF(123:123,C42,124:124)+100</f>
        <v>100</v>
      </c>
      <c r="I42" s="3316" t="s">
        <v>3203</v>
      </c>
      <c r="J42" s="534">
        <f>SUMIF(123:123,I42,124:124)-SUMIF(123:123,C42,124:124)+100</f>
        <v>100</v>
      </c>
      <c r="K42" s="578">
        <v>2</v>
      </c>
      <c r="L42" s="2024"/>
      <c r="M42" s="2014"/>
      <c r="N42" s="2014"/>
      <c r="O42" s="2023"/>
      <c r="P42" s="3520"/>
      <c r="Q42" s="1506" t="str">
        <f t="shared" si="14"/>
        <v>临街宽度及深度</v>
      </c>
      <c r="R42" s="1507" t="s">
        <v>8</v>
      </c>
      <c r="S42" s="1508">
        <f t="shared" si="10"/>
        <v>100</v>
      </c>
      <c r="T42" s="1507" t="s">
        <v>8</v>
      </c>
      <c r="U42" s="1508">
        <f t="shared" si="11"/>
        <v>100</v>
      </c>
      <c r="V42" s="1507" t="s">
        <v>8</v>
      </c>
      <c r="W42" s="1508">
        <f t="shared" si="12"/>
        <v>100</v>
      </c>
      <c r="X42" s="1501"/>
      <c r="Y42" s="3520"/>
      <c r="Z42" s="1509" t="str">
        <f t="shared" si="13"/>
        <v>临街宽度及深度</v>
      </c>
      <c r="AA42" s="1510">
        <f t="shared" si="3"/>
        <v>1</v>
      </c>
      <c r="AB42" s="1510">
        <f t="shared" si="4"/>
        <v>1</v>
      </c>
      <c r="AC42" s="1510">
        <f t="shared" si="5"/>
        <v>1</v>
      </c>
    </row>
    <row r="43" spans="1:29" s="1202" customFormat="1" ht="20.25">
      <c r="A43" s="594"/>
      <c r="B43" s="1809" t="s">
        <v>2409</v>
      </c>
      <c r="C43" s="3317" t="s">
        <v>3207</v>
      </c>
      <c r="D43" s="253">
        <v>100</v>
      </c>
      <c r="E43" s="3317" t="s">
        <v>3208</v>
      </c>
      <c r="F43" s="534">
        <f>SUMIF(125:125,E43,126:126)-SUMIF(125:125,C43,126:126)+100</f>
        <v>100</v>
      </c>
      <c r="G43" s="3317" t="s">
        <v>3207</v>
      </c>
      <c r="H43" s="534">
        <f>SUMIF(125:125,G43,126:126)-SUMIF(125:125,C43,126:126)+100</f>
        <v>100</v>
      </c>
      <c r="I43" s="3317" t="s">
        <v>3207</v>
      </c>
      <c r="J43" s="534">
        <f>SUMIF(125:125,I43,126:126)-SUMIF(125:125,C43,126:126)+100</f>
        <v>100</v>
      </c>
      <c r="K43" s="578">
        <v>2</v>
      </c>
      <c r="L43" s="2017"/>
      <c r="M43" s="2014"/>
      <c r="N43" s="2014"/>
      <c r="O43" s="2019"/>
      <c r="P43" s="3520"/>
      <c r="Q43" s="1506" t="str">
        <f t="shared" si="14"/>
        <v>宗地开发程度</v>
      </c>
      <c r="R43" s="1502" t="s">
        <v>8</v>
      </c>
      <c r="S43" s="1503">
        <f t="shared" si="10"/>
        <v>100</v>
      </c>
      <c r="T43" s="1502" t="s">
        <v>8</v>
      </c>
      <c r="U43" s="1503">
        <f t="shared" si="11"/>
        <v>100</v>
      </c>
      <c r="V43" s="1502" t="s">
        <v>8</v>
      </c>
      <c r="W43" s="1503">
        <f t="shared" si="12"/>
        <v>100</v>
      </c>
      <c r="X43" s="1504"/>
      <c r="Y43" s="3520"/>
      <c r="Z43" s="1132" t="str">
        <f t="shared" si="13"/>
        <v>宗地开发程度</v>
      </c>
      <c r="AA43" s="1505">
        <f t="shared" si="3"/>
        <v>1</v>
      </c>
      <c r="AB43" s="1505">
        <f t="shared" si="4"/>
        <v>1</v>
      </c>
      <c r="AC43" s="1505">
        <f t="shared" si="5"/>
        <v>1</v>
      </c>
    </row>
    <row r="44" spans="1:29" ht="21" thickBot="1">
      <c r="A44" s="588"/>
      <c r="B44" s="521" t="s">
        <v>549</v>
      </c>
      <c r="C44" s="3316" t="s">
        <v>3203</v>
      </c>
      <c r="D44" s="534">
        <v>100</v>
      </c>
      <c r="E44" s="3316" t="s">
        <v>3203</v>
      </c>
      <c r="F44" s="534">
        <f>SUMIF(127:127,E44,128:128)-SUMIF(127:127,C44,128:128)+100</f>
        <v>100</v>
      </c>
      <c r="G44" s="3316" t="s">
        <v>3203</v>
      </c>
      <c r="H44" s="534">
        <f>SUMIF(127:127,G44,128:128)-SUMIF(127:127,C44,128:128)+100</f>
        <v>100</v>
      </c>
      <c r="I44" s="3316" t="s">
        <v>3203</v>
      </c>
      <c r="J44" s="534">
        <f>SUMIF(127:127,I44,128:128)-SUMIF(127:127,C44,128:128)+100</f>
        <v>100</v>
      </c>
      <c r="K44" s="578">
        <v>2</v>
      </c>
      <c r="L44" s="2024"/>
      <c r="M44" s="2014"/>
      <c r="N44" s="2014"/>
      <c r="O44" s="2023"/>
      <c r="P44" s="3520" t="s">
        <v>544</v>
      </c>
      <c r="Q44" s="1506" t="str">
        <f t="shared" si="14"/>
        <v>工程地质条件</v>
      </c>
      <c r="R44" s="1507" t="s">
        <v>8</v>
      </c>
      <c r="S44" s="1508">
        <f t="shared" si="10"/>
        <v>100</v>
      </c>
      <c r="T44" s="1507" t="s">
        <v>8</v>
      </c>
      <c r="U44" s="1508">
        <f t="shared" si="11"/>
        <v>100</v>
      </c>
      <c r="V44" s="1507" t="s">
        <v>8</v>
      </c>
      <c r="W44" s="1508">
        <f t="shared" si="12"/>
        <v>100</v>
      </c>
      <c r="X44" s="1501"/>
      <c r="Y44" s="3520" t="s">
        <v>544</v>
      </c>
      <c r="Z44" s="1509" t="str">
        <f t="shared" si="13"/>
        <v>工程地质条件</v>
      </c>
      <c r="AA44" s="1510">
        <f t="shared" si="3"/>
        <v>1</v>
      </c>
      <c r="AB44" s="1510">
        <f t="shared" si="4"/>
        <v>1</v>
      </c>
      <c r="AC44" s="1510">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20"/>
      <c r="Q45" s="1506">
        <f t="shared" si="14"/>
        <v>111</v>
      </c>
      <c r="R45" s="1507" t="s">
        <v>8</v>
      </c>
      <c r="S45" s="1508">
        <f t="shared" si="10"/>
        <v>100</v>
      </c>
      <c r="T45" s="1507" t="s">
        <v>8</v>
      </c>
      <c r="U45" s="1508">
        <f t="shared" si="11"/>
        <v>100</v>
      </c>
      <c r="V45" s="1507" t="s">
        <v>8</v>
      </c>
      <c r="W45" s="1508">
        <f t="shared" si="12"/>
        <v>100</v>
      </c>
      <c r="X45" s="1501"/>
      <c r="Y45" s="3520"/>
      <c r="Z45" s="1509">
        <f t="shared" si="13"/>
        <v>111</v>
      </c>
      <c r="AA45" s="1510">
        <f t="shared" si="3"/>
        <v>1</v>
      </c>
      <c r="AB45" s="1510">
        <f t="shared" si="4"/>
        <v>1</v>
      </c>
      <c r="AC45" s="1510">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0"/>
      <c r="Q46" s="1506">
        <f t="shared" si="14"/>
        <v>111</v>
      </c>
      <c r="R46" s="1507" t="s">
        <v>8</v>
      </c>
      <c r="S46" s="1508">
        <f t="shared" si="10"/>
        <v>100</v>
      </c>
      <c r="T46" s="1507" t="s">
        <v>8</v>
      </c>
      <c r="U46" s="1508">
        <f t="shared" si="11"/>
        <v>100</v>
      </c>
      <c r="V46" s="1507" t="s">
        <v>8</v>
      </c>
      <c r="W46" s="1508">
        <f t="shared" si="12"/>
        <v>100</v>
      </c>
      <c r="X46" s="1501"/>
      <c r="Y46" s="3520"/>
      <c r="Z46" s="1509">
        <f t="shared" si="13"/>
        <v>111</v>
      </c>
      <c r="AA46" s="1510">
        <f t="shared" si="3"/>
        <v>1</v>
      </c>
      <c r="AB46" s="1510">
        <f t="shared" si="4"/>
        <v>1</v>
      </c>
      <c r="AC46" s="1510">
        <f t="shared" si="5"/>
        <v>1</v>
      </c>
    </row>
    <row r="47" spans="1:29" s="1292"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0"/>
      <c r="Q47" s="1506">
        <f t="shared" si="14"/>
        <v>111</v>
      </c>
      <c r="R47" s="1511" t="s">
        <v>8</v>
      </c>
      <c r="S47" s="1512">
        <f t="shared" si="10"/>
        <v>100</v>
      </c>
      <c r="T47" s="1511" t="s">
        <v>8</v>
      </c>
      <c r="U47" s="1512">
        <f t="shared" si="11"/>
        <v>100</v>
      </c>
      <c r="V47" s="1511" t="s">
        <v>8</v>
      </c>
      <c r="W47" s="1512">
        <f t="shared" si="12"/>
        <v>100</v>
      </c>
      <c r="X47" s="1513"/>
      <c r="Y47" s="3520"/>
      <c r="Z47" s="1514">
        <f t="shared" si="13"/>
        <v>111</v>
      </c>
      <c r="AA47" s="1510">
        <f t="shared" si="3"/>
        <v>1</v>
      </c>
      <c r="AB47" s="1510">
        <f t="shared" si="4"/>
        <v>1</v>
      </c>
      <c r="AC47" s="1510">
        <f t="shared" si="5"/>
        <v>1</v>
      </c>
    </row>
    <row r="48" spans="1:29" ht="20.25">
      <c r="A48" s="601" t="s">
        <v>550</v>
      </c>
      <c r="B48" s="602" t="s">
        <v>3209</v>
      </c>
      <c r="C48" s="603" t="s">
        <v>1</v>
      </c>
      <c r="D48" s="604"/>
      <c r="E48" s="605">
        <v>11839</v>
      </c>
      <c r="F48" s="606"/>
      <c r="G48" s="607">
        <v>13812</v>
      </c>
      <c r="H48" s="608"/>
      <c r="I48" s="605">
        <v>10137</v>
      </c>
      <c r="J48" s="608"/>
      <c r="K48" s="1293"/>
      <c r="L48" s="2026"/>
      <c r="M48" s="2014"/>
      <c r="N48" s="2014"/>
      <c r="O48" s="2027"/>
      <c r="P48" s="3515" t="str">
        <f>A48</f>
        <v>成交单价</v>
      </c>
      <c r="Q48" s="3515"/>
      <c r="R48" s="3529">
        <f>E48</f>
        <v>11839</v>
      </c>
      <c r="S48" s="3529"/>
      <c r="T48" s="3529">
        <f>G48</f>
        <v>13812</v>
      </c>
      <c r="U48" s="3529"/>
      <c r="V48" s="3529">
        <f>I48</f>
        <v>10137</v>
      </c>
      <c r="W48" s="3529"/>
      <c r="X48" s="1496"/>
      <c r="Y48" s="1515"/>
      <c r="Z48" s="1496"/>
      <c r="AA48" s="1496"/>
      <c r="AB48" s="1496"/>
      <c r="AC48" s="1496"/>
    </row>
    <row r="49" spans="1:29" ht="21" thickBot="1">
      <c r="A49" s="609" t="s">
        <v>2673</v>
      </c>
      <c r="B49" s="610"/>
      <c r="C49" s="611">
        <f>R50</f>
        <v>11474</v>
      </c>
      <c r="D49" s="3012" t="s">
        <v>2967</v>
      </c>
      <c r="E49" s="611">
        <f>R49</f>
        <v>11289</v>
      </c>
      <c r="F49" s="3013"/>
      <c r="G49" s="612">
        <f>T49</f>
        <v>13048</v>
      </c>
      <c r="H49" s="3013"/>
      <c r="I49" s="611">
        <f>V49</f>
        <v>10086</v>
      </c>
      <c r="J49" s="3013"/>
      <c r="K49" s="3014">
        <f>F49+H49+J49</f>
        <v>0</v>
      </c>
      <c r="L49" s="2026"/>
      <c r="M49" s="2014"/>
      <c r="N49" s="2014"/>
      <c r="O49" s="2027"/>
      <c r="P49" s="3515" t="str">
        <f>A49</f>
        <v>比较价格（元/平方米）</v>
      </c>
      <c r="Q49" s="3515"/>
      <c r="R49" s="3539">
        <f>ROUND(PRODUCT(R48,AA9:AA47),0)</f>
        <v>11289</v>
      </c>
      <c r="S49" s="3539"/>
      <c r="T49" s="3539">
        <f>ROUND(PRODUCT(T48,AB9:AB47),0)</f>
        <v>13048</v>
      </c>
      <c r="U49" s="3539"/>
      <c r="V49" s="3539">
        <f>ROUND(PRODUCT(V48,AC9:AC47),0)</f>
        <v>10086</v>
      </c>
      <c r="W49" s="3539"/>
      <c r="X49" s="1496"/>
      <c r="Y49" s="1496"/>
      <c r="Z49" s="1496"/>
      <c r="AA49" s="1496"/>
      <c r="AB49" s="1496"/>
      <c r="AC49" s="1496"/>
    </row>
    <row r="50" spans="1:29" ht="21" thickBot="1">
      <c r="A50" s="613" t="s">
        <v>2899</v>
      </c>
      <c r="B50" s="614"/>
      <c r="C50" s="615">
        <f>R50</f>
        <v>11474</v>
      </c>
      <c r="D50" s="615"/>
      <c r="E50" s="615"/>
      <c r="F50" s="615"/>
      <c r="G50" s="615"/>
      <c r="H50" s="615"/>
      <c r="I50" s="615"/>
      <c r="J50" s="615"/>
      <c r="K50" s="1294"/>
      <c r="L50" s="2026"/>
      <c r="M50" s="2014"/>
      <c r="N50" s="2014"/>
      <c r="O50" s="2027"/>
      <c r="P50" s="3536" t="str">
        <f>A50</f>
        <v>估价对象XX用房的比较价格（楼面单价，元/平方米）</v>
      </c>
      <c r="Q50" s="3537"/>
      <c r="R50" s="3538">
        <f>ROUND(IF(D49="简单平均",AVERAGE(R49:W49),R49*F49+T49*H49+V49*J49),0)</f>
        <v>11474</v>
      </c>
      <c r="S50" s="3538"/>
      <c r="T50" s="3538"/>
      <c r="U50" s="3538"/>
      <c r="V50" s="3538"/>
      <c r="W50" s="3538"/>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4.8719992913455634E-2</v>
      </c>
      <c r="F53" s="619" t="str">
        <f>IF(OR(E53&gt;=0.3,E53&lt;=-0.3),"超过30%","")</f>
        <v/>
      </c>
      <c r="G53" s="618">
        <f>IF(G48&lt;G49,G49/G48-1,G48/G49-1)</f>
        <v>5.8553034947884663E-2</v>
      </c>
      <c r="H53" s="619" t="str">
        <f>IF(OR(G53&gt;=0.3,G53&lt;=-0.3),"超过30%","")</f>
        <v/>
      </c>
      <c r="I53" s="618">
        <f>IF(I48&lt;I49,I49/I48-1,I48/I49-1)</f>
        <v>5.0565139797740244E-3</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0.15581539551776058</v>
      </c>
      <c r="F54" s="619" t="str">
        <f>IF(OR(E54&gt;=0.2,E54&lt;=-0.2),"超过20%","")</f>
        <v/>
      </c>
      <c r="G54" s="618">
        <f>IF(G49&lt;I49,I49/G49-1,G49/I49-1)</f>
        <v>0.29367440015863577</v>
      </c>
      <c r="H54" s="619" t="str">
        <f>IF(OR(G54&gt;=0.2,G54&lt;=-0.2),"超过20%","")</f>
        <v>超过20%</v>
      </c>
      <c r="I54" s="618">
        <f>IF(I49&lt;E49,E49/I49-1,I49/E49-1)</f>
        <v>0.11927424152290311</v>
      </c>
      <c r="J54" s="619" t="str">
        <f>IF(OR(I54&gt;=0.2,I54&lt;=-0.2),"超过20%","")</f>
        <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f>IF(E48&lt;G48,G48/E48-1,E48/G48-1)</f>
        <v>0.16665258890108969</v>
      </c>
      <c r="F55" s="619" t="str">
        <f>IF(OR(E55&gt;=0.3,E55&lt;=-0.3),"超过30%","")</f>
        <v/>
      </c>
      <c r="G55" s="618">
        <f>IF(G48&lt;I48,I48/G48-1,G48/I48-1)</f>
        <v>0.36253329387392719</v>
      </c>
      <c r="H55" s="619" t="str">
        <f>IF(OR(G55&gt;=0.3,G55&lt;=-0.3),"超过30%","")</f>
        <v>超过30%</v>
      </c>
      <c r="I55" s="618">
        <f>IF(I48&lt;E48,E48/I48-1,I48/E48-1)</f>
        <v>0.16789977310841464</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99" t="s">
        <v>2269</v>
      </c>
      <c r="H57" s="3500"/>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11474</v>
      </c>
      <c r="C58" s="627">
        <v>1</v>
      </c>
      <c r="D58" s="2108">
        <v>1</v>
      </c>
      <c r="E58" s="627">
        <f>'数据-汇总表'!E8+'数据-汇总表'!E9</f>
        <v>23553.4</v>
      </c>
      <c r="F58" s="628">
        <f t="shared" ref="F58:F67" si="15">ROUND(B58*E58/10000,0)</f>
        <v>27025</v>
      </c>
      <c r="G58" s="3501"/>
      <c r="H58" s="3502"/>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03" t="s">
        <v>2270</v>
      </c>
      <c r="H59" s="1862">
        <f>项目基本情况!B43</f>
        <v>0</v>
      </c>
      <c r="I59" s="1494">
        <f>SUMIF(修正!$A$45:$A$56,H59,修正!B45:B56)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03"/>
      <c r="H60" s="1862">
        <f>项目基本情况!B43</f>
        <v>0</v>
      </c>
      <c r="I60" s="1494">
        <f>SUMIF(修正!$A$45:$A$56,H60,修正!C45:C56)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03"/>
      <c r="H61" s="1862">
        <f>项目基本情况!B43</f>
        <v>0</v>
      </c>
      <c r="I61" s="1494">
        <f>SUMIF(修正!$A$45:$A$56,H61,修正!D45:D56)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03"/>
      <c r="H62" s="1862">
        <f>项目基本情况!B43</f>
        <v>0</v>
      </c>
      <c r="I62" s="1494">
        <f>SUMIF(修正!$A$45:$A$56,H62,修正!E45:E56)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23553.4</v>
      </c>
      <c r="F68" s="636">
        <f>IF(B48="楼面地价",SUM(F58:F67),ROUND(C50*E68/10000,0))</f>
        <v>27025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2021-4-1</v>
      </c>
      <c r="D70" s="2516">
        <f>EDATE(C70,-3)</f>
        <v>44197</v>
      </c>
      <c r="E70" s="2516">
        <f t="shared" ref="E70:N70" si="18">EDATE(D70,-3)</f>
        <v>44105</v>
      </c>
      <c r="F70" s="2516">
        <f t="shared" si="18"/>
        <v>44013</v>
      </c>
      <c r="G70" s="2516">
        <f t="shared" si="18"/>
        <v>43922</v>
      </c>
      <c r="H70" s="2516">
        <f t="shared" si="18"/>
        <v>43831</v>
      </c>
      <c r="I70" s="2516">
        <f t="shared" si="18"/>
        <v>43739</v>
      </c>
      <c r="J70" s="2516">
        <f t="shared" si="18"/>
        <v>43647</v>
      </c>
      <c r="K70" s="2516">
        <f t="shared" si="18"/>
        <v>43556</v>
      </c>
      <c r="L70" s="2516">
        <f t="shared" si="18"/>
        <v>43466</v>
      </c>
      <c r="M70" s="2516">
        <f t="shared" si="18"/>
        <v>43374</v>
      </c>
      <c r="N70" s="2516">
        <f t="shared" si="18"/>
        <v>43282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北京市平均增长率1.73%</v>
      </c>
      <c r="C73" s="882">
        <v>100</v>
      </c>
      <c r="D73" s="722">
        <v>99</v>
      </c>
      <c r="E73" s="722">
        <v>98</v>
      </c>
      <c r="F73" s="722">
        <v>97</v>
      </c>
      <c r="G73" s="722">
        <v>96</v>
      </c>
      <c r="H73" s="722">
        <v>95</v>
      </c>
      <c r="I73" s="722">
        <v>94</v>
      </c>
      <c r="J73" s="722">
        <v>93</v>
      </c>
      <c r="K73" s="722">
        <v>92</v>
      </c>
      <c r="L73" s="722">
        <v>91</v>
      </c>
      <c r="M73" s="2511">
        <v>90</v>
      </c>
      <c r="N73" s="2512">
        <v>89</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0">D82&amp;"（含）"&amp;"-"&amp;E82</f>
        <v>0.5（含）-1</v>
      </c>
      <c r="E81" s="674" t="str">
        <f t="shared" si="20"/>
        <v>1（含）-1.5</v>
      </c>
      <c r="F81" s="674" t="str">
        <f t="shared" si="20"/>
        <v>1.5（含）-2</v>
      </c>
      <c r="G81" s="674" t="str">
        <f t="shared" si="20"/>
        <v>2（含）-2.5</v>
      </c>
      <c r="H81" s="674" t="str">
        <f t="shared" si="20"/>
        <v>2.5（含）-3</v>
      </c>
      <c r="I81" s="674" t="str">
        <f t="shared" si="20"/>
        <v>3（含）-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v>3</v>
      </c>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v>
      </c>
      <c r="I118" s="696" t="str">
        <f t="shared" si="25"/>
        <v>(含)-</v>
      </c>
      <c r="J118" s="2778" t="str">
        <f t="shared" si="25"/>
        <v>(含)-</v>
      </c>
      <c r="K118" s="2778" t="str">
        <f t="shared" si="25"/>
        <v>(含)-</v>
      </c>
      <c r="L118" s="2779" t="str">
        <f t="shared" si="25"/>
        <v>(含)-</v>
      </c>
      <c r="M118" s="2780"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40000</v>
      </c>
      <c r="F119" s="722">
        <v>60000</v>
      </c>
      <c r="G119" s="722">
        <v>80000</v>
      </c>
      <c r="H119" s="722">
        <v>100000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H1" workbookViewId="0">
      <selection activeCell="A15" sqref="A15"/>
    </sheetView>
  </sheetViews>
  <sheetFormatPr defaultRowHeight="13.5"/>
  <cols>
    <col min="1" max="1" width="33.75" customWidth="1"/>
  </cols>
  <sheetData>
    <row r="1" spans="1:16">
      <c r="A1" s="3302" t="s">
        <v>3048</v>
      </c>
      <c r="B1" s="3302" t="s">
        <v>3049</v>
      </c>
      <c r="C1" s="3302" t="s">
        <v>3050</v>
      </c>
      <c r="D1" s="3302" t="s">
        <v>3051</v>
      </c>
      <c r="E1" s="3302" t="s">
        <v>3052</v>
      </c>
      <c r="F1" s="3302" t="s">
        <v>2021</v>
      </c>
      <c r="G1" s="3302" t="s">
        <v>3053</v>
      </c>
      <c r="H1" s="3302" t="s">
        <v>3054</v>
      </c>
      <c r="I1" s="3302" t="s">
        <v>3055</v>
      </c>
      <c r="J1" s="3302" t="s">
        <v>3056</v>
      </c>
      <c r="K1" s="3302" t="s">
        <v>3057</v>
      </c>
      <c r="L1" s="3302" t="s">
        <v>3058</v>
      </c>
      <c r="M1" s="3302" t="s">
        <v>3059</v>
      </c>
      <c r="N1" s="3302" t="s">
        <v>3060</v>
      </c>
      <c r="O1" s="3302" t="s">
        <v>3061</v>
      </c>
      <c r="P1" s="3302" t="s">
        <v>3062</v>
      </c>
    </row>
    <row r="2" spans="1:16">
      <c r="A2" s="3302" t="s">
        <v>3063</v>
      </c>
      <c r="B2" s="3302" t="s">
        <v>3064</v>
      </c>
      <c r="C2" s="3302" t="s">
        <v>3065</v>
      </c>
      <c r="D2" s="3302">
        <v>103702</v>
      </c>
      <c r="E2" s="3302">
        <v>248884.8</v>
      </c>
      <c r="F2" s="3302" t="s">
        <v>3066</v>
      </c>
      <c r="G2" s="3302" t="s">
        <v>3067</v>
      </c>
      <c r="H2" s="3302" t="s">
        <v>3068</v>
      </c>
      <c r="I2" s="3302" t="s">
        <v>3069</v>
      </c>
      <c r="J2" s="3302" t="s">
        <v>3069</v>
      </c>
      <c r="K2" s="3302">
        <v>149779</v>
      </c>
      <c r="L2" s="3302">
        <v>180779</v>
      </c>
      <c r="M2" s="3302">
        <v>7263.56</v>
      </c>
      <c r="N2" s="3302">
        <v>20.7</v>
      </c>
      <c r="O2" s="3302" t="s">
        <v>3070</v>
      </c>
      <c r="P2" s="3302" t="s">
        <v>3071</v>
      </c>
    </row>
    <row r="3" spans="1:16">
      <c r="A3" s="3302" t="s">
        <v>3072</v>
      </c>
      <c r="B3" s="3302" t="s">
        <v>3064</v>
      </c>
      <c r="C3" s="3302" t="s">
        <v>3073</v>
      </c>
      <c r="D3" s="3302">
        <v>13148</v>
      </c>
      <c r="E3" s="3302">
        <v>24981.200000000001</v>
      </c>
      <c r="F3" s="3302" t="s">
        <v>3074</v>
      </c>
      <c r="G3" s="3302" t="s">
        <v>3067</v>
      </c>
      <c r="H3" s="3302" t="s">
        <v>3075</v>
      </c>
      <c r="I3" s="3302" t="s">
        <v>3076</v>
      </c>
      <c r="J3" s="3302" t="s">
        <v>3076</v>
      </c>
      <c r="K3" s="3302">
        <v>24982</v>
      </c>
      <c r="L3" s="3302">
        <v>30582</v>
      </c>
      <c r="M3" s="3302">
        <v>12242.01</v>
      </c>
      <c r="N3" s="3302">
        <v>22.42</v>
      </c>
      <c r="O3" s="3302" t="s">
        <v>3077</v>
      </c>
      <c r="P3" s="3302" t="s">
        <v>3071</v>
      </c>
    </row>
    <row r="4" spans="1:16">
      <c r="A4" s="3302" t="s">
        <v>3078</v>
      </c>
      <c r="B4" s="3302" t="s">
        <v>3064</v>
      </c>
      <c r="C4" s="3302" t="s">
        <v>3073</v>
      </c>
      <c r="D4" s="3302">
        <v>50853</v>
      </c>
      <c r="E4" s="3302">
        <v>142388.4</v>
      </c>
      <c r="F4" s="3302" t="s">
        <v>3079</v>
      </c>
      <c r="G4" s="3302" t="s">
        <v>3067</v>
      </c>
      <c r="H4" s="3302" t="s">
        <v>3075</v>
      </c>
      <c r="I4" s="3302" t="s">
        <v>3080</v>
      </c>
      <c r="J4" s="3302" t="s">
        <v>3080</v>
      </c>
      <c r="K4" s="3302">
        <v>128150</v>
      </c>
      <c r="L4" s="3302">
        <v>166150</v>
      </c>
      <c r="M4" s="3302">
        <v>11668.79</v>
      </c>
      <c r="N4" s="3302">
        <v>29.65</v>
      </c>
      <c r="O4" s="3302" t="s">
        <v>3081</v>
      </c>
      <c r="P4" s="3302" t="s">
        <v>3071</v>
      </c>
    </row>
    <row r="5" spans="1:16">
      <c r="A5" s="3302" t="s">
        <v>3082</v>
      </c>
      <c r="B5" s="3302" t="s">
        <v>3064</v>
      </c>
      <c r="C5" s="3302" t="s">
        <v>3073</v>
      </c>
      <c r="D5" s="3302">
        <v>39666</v>
      </c>
      <c r="E5" s="3302">
        <v>107098.2</v>
      </c>
      <c r="F5" s="3302" t="s">
        <v>3083</v>
      </c>
      <c r="G5" s="3302" t="s">
        <v>3067</v>
      </c>
      <c r="H5" s="3302" t="s">
        <v>3075</v>
      </c>
      <c r="I5" s="3302" t="s">
        <v>3080</v>
      </c>
      <c r="J5" s="3302" t="s">
        <v>3080</v>
      </c>
      <c r="K5" s="3302">
        <v>96389</v>
      </c>
      <c r="L5" s="3302">
        <v>124389</v>
      </c>
      <c r="M5" s="3302">
        <v>11614.47</v>
      </c>
      <c r="N5" s="3302">
        <v>29.05</v>
      </c>
      <c r="O5" s="3302" t="s">
        <v>3084</v>
      </c>
      <c r="P5" s="3302" t="s">
        <v>3071</v>
      </c>
    </row>
    <row r="6" spans="1:16">
      <c r="A6" s="3302" t="s">
        <v>3085</v>
      </c>
      <c r="B6" s="3302" t="s">
        <v>3064</v>
      </c>
      <c r="C6" s="3302" t="s">
        <v>3065</v>
      </c>
      <c r="D6" s="3302">
        <v>42060</v>
      </c>
      <c r="E6" s="3302">
        <v>124287.3</v>
      </c>
      <c r="F6" s="3302" t="s">
        <v>3086</v>
      </c>
      <c r="G6" s="3302" t="s">
        <v>3067</v>
      </c>
      <c r="H6" s="3302" t="s">
        <v>3087</v>
      </c>
      <c r="I6" s="3302" t="s">
        <v>3088</v>
      </c>
      <c r="J6" s="3302" t="s">
        <v>3088</v>
      </c>
      <c r="K6" s="3302">
        <v>82960</v>
      </c>
      <c r="L6" s="3302">
        <v>84460</v>
      </c>
      <c r="M6" s="3302">
        <v>6795.55</v>
      </c>
      <c r="N6" s="3302">
        <v>1.81</v>
      </c>
      <c r="O6" s="3302" t="s">
        <v>3089</v>
      </c>
      <c r="P6" s="3302" t="s">
        <v>3071</v>
      </c>
    </row>
    <row r="7" spans="1:16">
      <c r="A7" s="3302" t="s">
        <v>3090</v>
      </c>
      <c r="B7" s="3302" t="s">
        <v>3064</v>
      </c>
      <c r="C7" s="3302" t="s">
        <v>3073</v>
      </c>
      <c r="D7" s="3302">
        <v>66070</v>
      </c>
      <c r="E7" s="3302">
        <v>112319</v>
      </c>
      <c r="F7" s="3302" t="s">
        <v>3091</v>
      </c>
      <c r="G7" s="3302" t="s">
        <v>3067</v>
      </c>
      <c r="H7" s="3302" t="s">
        <v>3075</v>
      </c>
      <c r="I7" s="3302" t="s">
        <v>3092</v>
      </c>
      <c r="J7" s="3302" t="s">
        <v>3092</v>
      </c>
      <c r="K7" s="3302">
        <v>95472</v>
      </c>
      <c r="L7" s="3302">
        <v>116472</v>
      </c>
      <c r="M7" s="3302">
        <v>10369.75</v>
      </c>
      <c r="N7" s="3302">
        <v>22</v>
      </c>
      <c r="O7" s="3302" t="s">
        <v>3093</v>
      </c>
      <c r="P7" s="3302" t="s">
        <v>3094</v>
      </c>
    </row>
    <row r="8" spans="1:16" s="3304" customFormat="1">
      <c r="A8" s="3303" t="s">
        <v>3095</v>
      </c>
      <c r="B8" s="3303" t="s">
        <v>3064</v>
      </c>
      <c r="C8" s="3303" t="s">
        <v>3073</v>
      </c>
      <c r="D8" s="3303">
        <v>33155</v>
      </c>
      <c r="E8" s="3303">
        <v>39786</v>
      </c>
      <c r="F8" s="3303" t="s">
        <v>3096</v>
      </c>
      <c r="G8" s="3303" t="s">
        <v>3067</v>
      </c>
      <c r="H8" s="3303" t="s">
        <v>3075</v>
      </c>
      <c r="I8" s="3303" t="s">
        <v>3097</v>
      </c>
      <c r="J8" s="3303" t="s">
        <v>3097</v>
      </c>
      <c r="K8" s="3303">
        <v>36604</v>
      </c>
      <c r="L8" s="3303">
        <v>47104</v>
      </c>
      <c r="M8" s="3303">
        <v>11839.34</v>
      </c>
      <c r="N8" s="3303">
        <v>28.69</v>
      </c>
      <c r="O8" s="3303" t="s">
        <v>3098</v>
      </c>
      <c r="P8" s="3303" t="s">
        <v>3094</v>
      </c>
    </row>
    <row r="9" spans="1:16">
      <c r="A9" s="3302" t="s">
        <v>3099</v>
      </c>
      <c r="B9" s="3302" t="s">
        <v>3064</v>
      </c>
      <c r="C9" s="3302" t="s">
        <v>3073</v>
      </c>
      <c r="D9" s="3302">
        <v>59161</v>
      </c>
      <c r="E9" s="3302">
        <v>65077.1</v>
      </c>
      <c r="F9" s="3302" t="s">
        <v>3100</v>
      </c>
      <c r="G9" s="3302" t="s">
        <v>3067</v>
      </c>
      <c r="H9" s="3302" t="s">
        <v>3075</v>
      </c>
      <c r="I9" s="3302" t="s">
        <v>3097</v>
      </c>
      <c r="J9" s="3302" t="s">
        <v>3097</v>
      </c>
      <c r="K9" s="3302">
        <v>54014</v>
      </c>
      <c r="L9" s="3302">
        <v>54014</v>
      </c>
      <c r="M9" s="3302">
        <v>8300</v>
      </c>
      <c r="N9" s="3302">
        <v>0</v>
      </c>
      <c r="O9" s="3302" t="s">
        <v>3101</v>
      </c>
      <c r="P9" s="3302" t="s">
        <v>3102</v>
      </c>
    </row>
    <row r="10" spans="1:16">
      <c r="A10" s="3302" t="s">
        <v>3103</v>
      </c>
      <c r="B10" s="3302" t="s">
        <v>3064</v>
      </c>
      <c r="C10" s="3302" t="s">
        <v>3073</v>
      </c>
      <c r="D10" s="3302">
        <v>65162</v>
      </c>
      <c r="E10" s="3302">
        <v>153130.70000000001</v>
      </c>
      <c r="F10" s="3302">
        <v>2.35</v>
      </c>
      <c r="G10" s="3302" t="s">
        <v>3067</v>
      </c>
      <c r="H10" s="3302" t="s">
        <v>3104</v>
      </c>
      <c r="I10" s="3302" t="s">
        <v>3105</v>
      </c>
      <c r="J10" s="3302" t="s">
        <v>3105</v>
      </c>
      <c r="K10" s="3302">
        <v>137818</v>
      </c>
      <c r="L10" s="3302">
        <v>164818</v>
      </c>
      <c r="M10" s="3302">
        <v>10763.21</v>
      </c>
      <c r="N10" s="3302">
        <v>19.59</v>
      </c>
      <c r="O10" s="3302" t="s">
        <v>3106</v>
      </c>
      <c r="P10" s="3302" t="s">
        <v>3071</v>
      </c>
    </row>
    <row r="11" spans="1:16" s="3304" customFormat="1">
      <c r="A11" s="3303" t="s">
        <v>3107</v>
      </c>
      <c r="B11" s="3303" t="s">
        <v>3064</v>
      </c>
      <c r="C11" s="3303" t="s">
        <v>3073</v>
      </c>
      <c r="D11" s="3303">
        <v>85868</v>
      </c>
      <c r="E11" s="3303">
        <v>154562.4</v>
      </c>
      <c r="F11" s="3303">
        <v>1.8</v>
      </c>
      <c r="G11" s="3303" t="s">
        <v>3067</v>
      </c>
      <c r="H11" s="3303" t="s">
        <v>3104</v>
      </c>
      <c r="I11" s="3303" t="s">
        <v>3105</v>
      </c>
      <c r="J11" s="3303" t="s">
        <v>3105</v>
      </c>
      <c r="K11" s="3303">
        <v>185475</v>
      </c>
      <c r="L11" s="3303">
        <v>213475</v>
      </c>
      <c r="M11" s="3303">
        <v>13811.56</v>
      </c>
      <c r="N11" s="3303">
        <v>15.1</v>
      </c>
      <c r="O11" s="3303" t="s">
        <v>3108</v>
      </c>
      <c r="P11" s="3303" t="s">
        <v>3109</v>
      </c>
    </row>
    <row r="12" spans="1:16">
      <c r="A12" s="3302" t="s">
        <v>3110</v>
      </c>
      <c r="B12" s="3302" t="s">
        <v>3064</v>
      </c>
      <c r="C12" s="3302" t="s">
        <v>3073</v>
      </c>
      <c r="D12" s="3302">
        <v>13841</v>
      </c>
      <c r="E12" s="3302">
        <v>27682</v>
      </c>
      <c r="F12" s="3302">
        <v>2</v>
      </c>
      <c r="G12" s="3302" t="s">
        <v>3067</v>
      </c>
      <c r="H12" s="3302" t="s">
        <v>3075</v>
      </c>
      <c r="I12" s="3302" t="s">
        <v>3111</v>
      </c>
      <c r="J12" s="3302" t="s">
        <v>3111</v>
      </c>
      <c r="K12" s="3302">
        <v>23530</v>
      </c>
      <c r="L12" s="3302">
        <v>27730</v>
      </c>
      <c r="M12" s="3302">
        <v>10017.34</v>
      </c>
      <c r="N12" s="3302">
        <v>17.850000000000001</v>
      </c>
      <c r="O12" s="3302" t="s">
        <v>3112</v>
      </c>
      <c r="P12" s="3302" t="s">
        <v>3094</v>
      </c>
    </row>
    <row r="13" spans="1:16">
      <c r="A13" s="3302" t="s">
        <v>3113</v>
      </c>
      <c r="B13" s="3302" t="s">
        <v>3064</v>
      </c>
      <c r="C13" s="3302" t="s">
        <v>3073</v>
      </c>
      <c r="D13" s="3302">
        <v>37859</v>
      </c>
      <c r="E13" s="3302">
        <v>75718</v>
      </c>
      <c r="F13" s="3302">
        <v>2</v>
      </c>
      <c r="G13" s="3302" t="s">
        <v>3067</v>
      </c>
      <c r="H13" s="3302" t="s">
        <v>3114</v>
      </c>
      <c r="I13" s="3302" t="s">
        <v>3115</v>
      </c>
      <c r="J13" s="3302" t="s">
        <v>3115</v>
      </c>
      <c r="K13" s="3302">
        <v>9087</v>
      </c>
      <c r="L13" s="3302">
        <v>9087</v>
      </c>
      <c r="M13" s="3302">
        <v>1200.0999999999999</v>
      </c>
      <c r="N13" s="3302">
        <v>0</v>
      </c>
      <c r="O13" s="3302" t="s">
        <v>3116</v>
      </c>
      <c r="P13" s="3302" t="s">
        <v>3094</v>
      </c>
    </row>
    <row r="14" spans="1:16">
      <c r="A14" s="3302" t="s">
        <v>3117</v>
      </c>
      <c r="B14" s="3302" t="s">
        <v>3064</v>
      </c>
      <c r="C14" s="3302" t="s">
        <v>3073</v>
      </c>
      <c r="D14" s="3302">
        <v>36261</v>
      </c>
      <c r="E14" s="3302">
        <v>79774.2</v>
      </c>
      <c r="F14" s="3302" t="s">
        <v>3118</v>
      </c>
      <c r="G14" s="3302" t="s">
        <v>3067</v>
      </c>
      <c r="H14" s="3302" t="s">
        <v>3075</v>
      </c>
      <c r="I14" s="3302" t="s">
        <v>3119</v>
      </c>
      <c r="J14" s="3302" t="s">
        <v>3119</v>
      </c>
      <c r="K14" s="3302">
        <v>67809</v>
      </c>
      <c r="L14" s="3302">
        <v>79309</v>
      </c>
      <c r="M14" s="3302">
        <v>9941.69</v>
      </c>
      <c r="N14" s="3302">
        <v>16.96</v>
      </c>
      <c r="O14" s="3302" t="s">
        <v>3120</v>
      </c>
      <c r="P14" s="3302" t="s">
        <v>3094</v>
      </c>
    </row>
    <row r="15" spans="1:16">
      <c r="A15" s="3302" t="s">
        <v>3121</v>
      </c>
      <c r="B15" s="3302" t="s">
        <v>3064</v>
      </c>
      <c r="C15" s="3302" t="s">
        <v>3073</v>
      </c>
      <c r="D15" s="3302">
        <v>71975</v>
      </c>
      <c r="E15" s="3302">
        <v>158345</v>
      </c>
      <c r="F15" s="3302" t="s">
        <v>3118</v>
      </c>
      <c r="G15" s="3302" t="s">
        <v>3067</v>
      </c>
      <c r="H15" s="3302" t="s">
        <v>3075</v>
      </c>
      <c r="I15" s="3302" t="s">
        <v>3122</v>
      </c>
      <c r="J15" s="3302" t="s">
        <v>3122</v>
      </c>
      <c r="K15" s="3302">
        <v>150428</v>
      </c>
      <c r="L15" s="3302">
        <v>195428</v>
      </c>
      <c r="M15" s="3302">
        <v>12341.9</v>
      </c>
      <c r="N15" s="3302">
        <v>29.91</v>
      </c>
      <c r="O15" s="3302" t="s">
        <v>3123</v>
      </c>
      <c r="P15" s="3302" t="s">
        <v>3071</v>
      </c>
    </row>
    <row r="16" spans="1:16">
      <c r="A16" s="3302" t="s">
        <v>3124</v>
      </c>
      <c r="B16" s="3302" t="s">
        <v>3064</v>
      </c>
      <c r="C16" s="3302" t="s">
        <v>3065</v>
      </c>
      <c r="D16" s="3302">
        <v>49759</v>
      </c>
      <c r="E16" s="3302">
        <v>102503.54</v>
      </c>
      <c r="F16" s="3302" t="s">
        <v>3125</v>
      </c>
      <c r="G16" s="3302" t="s">
        <v>3067</v>
      </c>
      <c r="H16" s="3302" t="s">
        <v>3126</v>
      </c>
      <c r="I16" s="3302" t="s">
        <v>3122</v>
      </c>
      <c r="J16" s="3302" t="s">
        <v>3122</v>
      </c>
      <c r="K16" s="3302">
        <v>24122</v>
      </c>
      <c r="L16" s="3302">
        <v>24122</v>
      </c>
      <c r="M16" s="3302">
        <v>2353.2800000000002</v>
      </c>
      <c r="N16" s="3302">
        <v>0</v>
      </c>
      <c r="O16" s="3302" t="s">
        <v>3127</v>
      </c>
      <c r="P16" s="3302" t="s">
        <v>3109</v>
      </c>
    </row>
    <row r="17" spans="1:16">
      <c r="A17" s="3302" t="s">
        <v>3128</v>
      </c>
      <c r="B17" s="3302" t="s">
        <v>3064</v>
      </c>
      <c r="C17" s="3302" t="s">
        <v>3073</v>
      </c>
      <c r="D17" s="3302">
        <v>51524</v>
      </c>
      <c r="E17" s="3302">
        <v>92743.2</v>
      </c>
      <c r="F17" s="3302" t="s">
        <v>3129</v>
      </c>
      <c r="G17" s="3302" t="s">
        <v>3067</v>
      </c>
      <c r="H17" s="3302" t="s">
        <v>3075</v>
      </c>
      <c r="I17" s="3302" t="s">
        <v>3130</v>
      </c>
      <c r="J17" s="3302" t="s">
        <v>3130</v>
      </c>
      <c r="K17" s="3302">
        <v>46372</v>
      </c>
      <c r="L17" s="3302">
        <v>46372</v>
      </c>
      <c r="M17" s="3302">
        <v>5000.03</v>
      </c>
      <c r="N17" s="3302">
        <v>0</v>
      </c>
      <c r="O17" s="3302" t="s">
        <v>3131</v>
      </c>
      <c r="P17" s="3302" t="s">
        <v>3102</v>
      </c>
    </row>
    <row r="18" spans="1:16">
      <c r="A18" s="3302" t="s">
        <v>3132</v>
      </c>
      <c r="B18" s="3302" t="s">
        <v>3064</v>
      </c>
      <c r="C18" s="3302" t="s">
        <v>3073</v>
      </c>
      <c r="D18" s="3302">
        <v>32724</v>
      </c>
      <c r="E18" s="3302">
        <v>81810</v>
      </c>
      <c r="F18" s="3302" t="s">
        <v>3133</v>
      </c>
      <c r="G18" s="3302" t="s">
        <v>3067</v>
      </c>
      <c r="H18" s="3302" t="s">
        <v>3075</v>
      </c>
      <c r="I18" s="3302" t="s">
        <v>3134</v>
      </c>
      <c r="J18" s="3302" t="s">
        <v>3134</v>
      </c>
      <c r="K18" s="3302">
        <v>77720</v>
      </c>
      <c r="L18" s="3302">
        <v>100720</v>
      </c>
      <c r="M18" s="3302">
        <v>12311.45</v>
      </c>
      <c r="N18" s="3302">
        <v>29.59</v>
      </c>
      <c r="O18" s="3302" t="s">
        <v>3135</v>
      </c>
      <c r="P18" s="3302" t="s">
        <v>3071</v>
      </c>
    </row>
    <row r="19" spans="1:16">
      <c r="A19" s="3302" t="s">
        <v>3136</v>
      </c>
      <c r="B19" s="3302" t="s">
        <v>3064</v>
      </c>
      <c r="C19" s="3302" t="s">
        <v>3073</v>
      </c>
      <c r="D19" s="3302">
        <v>56728</v>
      </c>
      <c r="E19" s="3302">
        <v>124801.60000000001</v>
      </c>
      <c r="F19" s="3302" t="s">
        <v>3137</v>
      </c>
      <c r="G19" s="3302" t="s">
        <v>3067</v>
      </c>
      <c r="H19" s="3302" t="s">
        <v>3075</v>
      </c>
      <c r="I19" s="3302" t="s">
        <v>3138</v>
      </c>
      <c r="J19" s="3302" t="s">
        <v>3138</v>
      </c>
      <c r="K19" s="3302">
        <v>114818</v>
      </c>
      <c r="L19" s="3302">
        <v>128818</v>
      </c>
      <c r="M19" s="3302">
        <v>10321.81</v>
      </c>
      <c r="N19" s="3302">
        <v>12.19</v>
      </c>
      <c r="O19" s="3302" t="s">
        <v>3139</v>
      </c>
      <c r="P19" s="3302" t="s">
        <v>3094</v>
      </c>
    </row>
    <row r="20" spans="1:16">
      <c r="A20" s="3302" t="s">
        <v>3140</v>
      </c>
      <c r="B20" s="3302" t="s">
        <v>3064</v>
      </c>
      <c r="C20" s="3302" t="s">
        <v>3073</v>
      </c>
      <c r="D20" s="3302">
        <v>15876</v>
      </c>
      <c r="E20" s="3302">
        <v>31752</v>
      </c>
      <c r="F20" s="3302" t="s">
        <v>3141</v>
      </c>
      <c r="G20" s="3302" t="s">
        <v>3067</v>
      </c>
      <c r="H20" s="3302" t="s">
        <v>3075</v>
      </c>
      <c r="I20" s="3302" t="s">
        <v>3142</v>
      </c>
      <c r="J20" s="3302" t="s">
        <v>3142</v>
      </c>
      <c r="K20" s="3302">
        <v>7938</v>
      </c>
      <c r="L20" s="3302">
        <v>9738</v>
      </c>
      <c r="M20" s="3302">
        <v>3066.88</v>
      </c>
      <c r="N20" s="3302">
        <v>22.68</v>
      </c>
      <c r="O20" s="3302" t="s">
        <v>3143</v>
      </c>
      <c r="P20" s="3302" t="s">
        <v>3109</v>
      </c>
    </row>
    <row r="21" spans="1:16">
      <c r="A21" s="3302" t="s">
        <v>3144</v>
      </c>
      <c r="B21" s="3302" t="s">
        <v>3064</v>
      </c>
      <c r="C21" s="3302" t="s">
        <v>3073</v>
      </c>
      <c r="D21" s="3302">
        <v>37355</v>
      </c>
      <c r="E21" s="3302">
        <v>74710</v>
      </c>
      <c r="F21" s="3302" t="s">
        <v>3141</v>
      </c>
      <c r="G21" s="3302" t="s">
        <v>3067</v>
      </c>
      <c r="H21" s="3302" t="s">
        <v>3145</v>
      </c>
      <c r="I21" s="3302" t="s">
        <v>3146</v>
      </c>
      <c r="J21" s="3302" t="s">
        <v>3146</v>
      </c>
      <c r="K21" s="3302">
        <v>9003</v>
      </c>
      <c r="L21" s="3302">
        <v>9003</v>
      </c>
      <c r="M21" s="3302">
        <v>1205.05</v>
      </c>
      <c r="N21" s="3302">
        <v>0</v>
      </c>
      <c r="O21" s="3302" t="s">
        <v>3147</v>
      </c>
      <c r="P21" s="3302" t="s">
        <v>3094</v>
      </c>
    </row>
    <row r="22" spans="1:16">
      <c r="A22" s="3302" t="s">
        <v>3148</v>
      </c>
      <c r="B22" s="3302" t="s">
        <v>3064</v>
      </c>
      <c r="C22" s="3302" t="s">
        <v>3065</v>
      </c>
      <c r="D22" s="3302">
        <v>17040</v>
      </c>
      <c r="E22" s="3302">
        <v>18744</v>
      </c>
      <c r="F22" s="3302" t="s">
        <v>3149</v>
      </c>
      <c r="G22" s="3302" t="s">
        <v>3067</v>
      </c>
      <c r="H22" s="3302" t="s">
        <v>3150</v>
      </c>
      <c r="I22" s="3302" t="s">
        <v>3146</v>
      </c>
      <c r="J22" s="3302" t="s">
        <v>3146</v>
      </c>
      <c r="K22" s="3302">
        <v>13924</v>
      </c>
      <c r="L22" s="3302">
        <v>16324</v>
      </c>
      <c r="M22" s="3302">
        <v>8708.92</v>
      </c>
      <c r="N22" s="3302">
        <v>17.239999999999998</v>
      </c>
      <c r="O22" s="3302" t="s">
        <v>3151</v>
      </c>
      <c r="P22" s="3302" t="s">
        <v>3094</v>
      </c>
    </row>
    <row r="23" spans="1:16">
      <c r="A23" s="3302" t="s">
        <v>3152</v>
      </c>
      <c r="B23" s="3302" t="s">
        <v>3064</v>
      </c>
      <c r="C23" s="3302" t="s">
        <v>3073</v>
      </c>
      <c r="D23" s="3302">
        <v>23642</v>
      </c>
      <c r="E23" s="3302">
        <v>42555.6</v>
      </c>
      <c r="F23" s="3302" t="s">
        <v>3153</v>
      </c>
      <c r="G23" s="3302" t="s">
        <v>3067</v>
      </c>
      <c r="H23" s="3302" t="s">
        <v>3075</v>
      </c>
      <c r="I23" s="3302" t="s">
        <v>3154</v>
      </c>
      <c r="J23" s="3302" t="s">
        <v>3154</v>
      </c>
      <c r="K23" s="3302">
        <v>34258</v>
      </c>
      <c r="L23" s="3302">
        <v>34758</v>
      </c>
      <c r="M23" s="3302">
        <v>8167.67</v>
      </c>
      <c r="N23" s="3302">
        <v>1.46</v>
      </c>
      <c r="O23" s="3302" t="s">
        <v>3155</v>
      </c>
      <c r="P23" s="3302" t="s">
        <v>3071</v>
      </c>
    </row>
    <row r="24" spans="1:16">
      <c r="A24" s="3302" t="s">
        <v>3156</v>
      </c>
      <c r="B24" s="3302" t="s">
        <v>3064</v>
      </c>
      <c r="C24" s="3302" t="s">
        <v>3073</v>
      </c>
      <c r="D24" s="3302">
        <v>99211</v>
      </c>
      <c r="E24" s="3302">
        <v>218264.2</v>
      </c>
      <c r="F24" s="3302" t="s">
        <v>3157</v>
      </c>
      <c r="G24" s="3302" t="s">
        <v>3067</v>
      </c>
      <c r="H24" s="3302" t="s">
        <v>3075</v>
      </c>
      <c r="I24" s="3302" t="s">
        <v>3154</v>
      </c>
      <c r="J24" s="3302" t="s">
        <v>3154</v>
      </c>
      <c r="K24" s="3302">
        <v>148420</v>
      </c>
      <c r="L24" s="3302">
        <v>173420</v>
      </c>
      <c r="M24" s="3302">
        <v>7945.42</v>
      </c>
      <c r="N24" s="3302">
        <v>16.84</v>
      </c>
      <c r="O24" s="3302" t="s">
        <v>3158</v>
      </c>
      <c r="P24" s="3302" t="s">
        <v>3094</v>
      </c>
    </row>
    <row r="25" spans="1:16">
      <c r="A25" s="3302" t="s">
        <v>3159</v>
      </c>
      <c r="B25" s="3302" t="s">
        <v>3064</v>
      </c>
      <c r="C25" s="3302" t="s">
        <v>3065</v>
      </c>
      <c r="D25" s="3302">
        <v>57103</v>
      </c>
      <c r="E25" s="3302">
        <v>147896.79999999999</v>
      </c>
      <c r="F25" s="3302" t="s">
        <v>3160</v>
      </c>
      <c r="G25" s="3302" t="s">
        <v>3067</v>
      </c>
      <c r="H25" s="3302" t="s">
        <v>3087</v>
      </c>
      <c r="I25" s="3302" t="s">
        <v>3154</v>
      </c>
      <c r="J25" s="3302" t="s">
        <v>3154</v>
      </c>
      <c r="K25" s="3302">
        <v>81344</v>
      </c>
      <c r="L25" s="3302">
        <v>82344</v>
      </c>
      <c r="M25" s="3302">
        <v>5567.67</v>
      </c>
      <c r="N25" s="3302">
        <v>1.23</v>
      </c>
      <c r="O25" s="3302" t="s">
        <v>3161</v>
      </c>
      <c r="P25" s="3302" t="s">
        <v>3071</v>
      </c>
    </row>
    <row r="26" spans="1:16">
      <c r="A26" s="3302" t="s">
        <v>3162</v>
      </c>
      <c r="B26" s="3302" t="s">
        <v>3064</v>
      </c>
      <c r="C26" s="3302" t="s">
        <v>3073</v>
      </c>
      <c r="D26" s="3302">
        <v>122160</v>
      </c>
      <c r="E26" s="3302">
        <v>158808</v>
      </c>
      <c r="F26" s="3302" t="s">
        <v>3163</v>
      </c>
      <c r="G26" s="3302" t="s">
        <v>3067</v>
      </c>
      <c r="H26" s="3302" t="s">
        <v>3073</v>
      </c>
      <c r="I26" s="3302" t="s">
        <v>3164</v>
      </c>
      <c r="J26" s="3302" t="s">
        <v>3164</v>
      </c>
      <c r="K26" s="3302">
        <v>122283</v>
      </c>
      <c r="L26" s="3302">
        <v>123283</v>
      </c>
      <c r="M26" s="3302">
        <v>7763.02</v>
      </c>
      <c r="N26" s="3302">
        <v>0.82</v>
      </c>
      <c r="O26" s="3302" t="s">
        <v>3077</v>
      </c>
      <c r="P26" s="3302" t="s">
        <v>3109</v>
      </c>
    </row>
    <row r="27" spans="1:16">
      <c r="A27" s="3302" t="s">
        <v>3165</v>
      </c>
      <c r="B27" s="3302" t="s">
        <v>3064</v>
      </c>
      <c r="C27" s="3302" t="s">
        <v>3073</v>
      </c>
      <c r="D27" s="3302">
        <v>63999</v>
      </c>
      <c r="E27" s="3302">
        <v>127998</v>
      </c>
      <c r="F27" s="3302" t="s">
        <v>3166</v>
      </c>
      <c r="G27" s="3302" t="s">
        <v>3067</v>
      </c>
      <c r="H27" s="3302" t="s">
        <v>3073</v>
      </c>
      <c r="I27" s="3302" t="s">
        <v>3164</v>
      </c>
      <c r="J27" s="3302" t="s">
        <v>3164</v>
      </c>
      <c r="K27" s="3302">
        <v>87039</v>
      </c>
      <c r="L27" s="3302">
        <v>107039</v>
      </c>
      <c r="M27" s="3302">
        <v>8362.5400000000009</v>
      </c>
      <c r="N27" s="3302">
        <v>22.98</v>
      </c>
      <c r="O27" s="3302" t="s">
        <v>3167</v>
      </c>
      <c r="P27" s="3302" t="s">
        <v>3094</v>
      </c>
    </row>
    <row r="28" spans="1:16">
      <c r="A28" s="3302" t="s">
        <v>3168</v>
      </c>
      <c r="B28" s="3302" t="s">
        <v>3064</v>
      </c>
      <c r="C28" s="3302" t="s">
        <v>3073</v>
      </c>
      <c r="D28" s="3302">
        <v>8797</v>
      </c>
      <c r="E28" s="3302">
        <v>14075.2</v>
      </c>
      <c r="F28" s="3302" t="s">
        <v>3169</v>
      </c>
      <c r="G28" s="3302" t="s">
        <v>3067</v>
      </c>
      <c r="H28" s="3302" t="s">
        <v>3073</v>
      </c>
      <c r="I28" s="3302" t="s">
        <v>3164</v>
      </c>
      <c r="J28" s="3302" t="s">
        <v>3164</v>
      </c>
      <c r="K28" s="3302">
        <v>3343</v>
      </c>
      <c r="L28" s="3302">
        <v>3343</v>
      </c>
      <c r="M28" s="3302">
        <v>2375.09</v>
      </c>
      <c r="N28" s="3302">
        <v>0</v>
      </c>
      <c r="O28" s="3302" t="s">
        <v>3106</v>
      </c>
      <c r="P28" s="3302" t="s">
        <v>3094</v>
      </c>
    </row>
    <row r="29" spans="1:16">
      <c r="A29" s="3302" t="s">
        <v>3170</v>
      </c>
      <c r="B29" s="3302" t="s">
        <v>3064</v>
      </c>
      <c r="C29" s="3302" t="s">
        <v>3073</v>
      </c>
      <c r="D29" s="3302">
        <v>62542</v>
      </c>
      <c r="E29" s="3302">
        <v>138843.20000000001</v>
      </c>
      <c r="F29" s="3302" t="s">
        <v>3171</v>
      </c>
      <c r="G29" s="3302" t="s">
        <v>3067</v>
      </c>
      <c r="H29" s="3302" t="s">
        <v>3073</v>
      </c>
      <c r="I29" s="3302" t="s">
        <v>3164</v>
      </c>
      <c r="J29" s="3302" t="s">
        <v>3164</v>
      </c>
      <c r="K29" s="3302">
        <v>32976</v>
      </c>
      <c r="L29" s="3302">
        <v>36976</v>
      </c>
      <c r="M29" s="3302">
        <v>2663.15</v>
      </c>
      <c r="N29" s="3302">
        <v>12.13</v>
      </c>
      <c r="O29" s="3302" t="s">
        <v>3172</v>
      </c>
      <c r="P29" s="3302" t="s">
        <v>3094</v>
      </c>
    </row>
    <row r="30" spans="1:16">
      <c r="A30" s="3302" t="s">
        <v>3173</v>
      </c>
      <c r="B30" s="3302" t="s">
        <v>3064</v>
      </c>
      <c r="C30" s="3302" t="s">
        <v>3065</v>
      </c>
      <c r="D30" s="3302">
        <v>64341</v>
      </c>
      <c r="E30" s="3302">
        <v>160852.5</v>
      </c>
      <c r="F30" s="3302" t="s">
        <v>3174</v>
      </c>
      <c r="G30" s="3302" t="s">
        <v>3067</v>
      </c>
      <c r="H30" s="3302" t="s">
        <v>3065</v>
      </c>
      <c r="I30" s="3302" t="s">
        <v>3175</v>
      </c>
      <c r="J30" s="3302" t="s">
        <v>3175</v>
      </c>
      <c r="K30" s="3302">
        <v>96850</v>
      </c>
      <c r="L30" s="3302">
        <v>113350</v>
      </c>
      <c r="M30" s="3302">
        <v>7046.82</v>
      </c>
      <c r="N30" s="3302">
        <v>17.04</v>
      </c>
      <c r="O30" s="3302" t="s">
        <v>3176</v>
      </c>
      <c r="P30" s="3302" t="s">
        <v>3094</v>
      </c>
    </row>
    <row r="31" spans="1:16" s="3304" customFormat="1">
      <c r="A31" s="3303" t="s">
        <v>3177</v>
      </c>
      <c r="B31" s="3303" t="s">
        <v>3064</v>
      </c>
      <c r="C31" s="3303" t="s">
        <v>3073</v>
      </c>
      <c r="D31" s="3303">
        <v>35663</v>
      </c>
      <c r="E31" s="3303">
        <v>42795.6</v>
      </c>
      <c r="F31" s="3303" t="s">
        <v>3178</v>
      </c>
      <c r="G31" s="3303" t="s">
        <v>3067</v>
      </c>
      <c r="H31" s="3303" t="s">
        <v>3073</v>
      </c>
      <c r="I31" s="3303" t="s">
        <v>3175</v>
      </c>
      <c r="J31" s="3303" t="s">
        <v>3175</v>
      </c>
      <c r="K31" s="3303">
        <v>33381</v>
      </c>
      <c r="L31" s="3303">
        <v>43381</v>
      </c>
      <c r="M31" s="3303">
        <v>10136.790000000001</v>
      </c>
      <c r="N31" s="3303">
        <v>29.96</v>
      </c>
      <c r="O31" s="3303" t="s">
        <v>3179</v>
      </c>
      <c r="P31" s="3303" t="s">
        <v>3102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26" t="str">
        <f>项目基本情况!B1</f>
        <v>出让国有建设用地使用权抵押价格预评估</v>
      </c>
      <c r="C37" s="3326"/>
      <c r="D37" s="3326"/>
      <c r="E37" s="3326"/>
      <c r="F37" s="3326"/>
      <c r="G37" s="3326"/>
      <c r="H37" s="3326"/>
      <c r="I37" s="3326"/>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38" sqref="B3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37878</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16082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16082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1072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67038</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914</v>
      </c>
      <c r="D7" s="430"/>
      <c r="E7" s="430"/>
      <c r="F7" s="430"/>
      <c r="G7" s="430"/>
      <c r="H7" s="430"/>
      <c r="I7" s="430"/>
      <c r="J7" s="430"/>
      <c r="K7" s="431"/>
      <c r="AA7" s="1994"/>
      <c r="AB7" s="1994"/>
      <c r="AC7" s="1994"/>
      <c r="AD7" s="1994"/>
      <c r="AE7" s="1994"/>
    </row>
    <row r="8" spans="1:31" s="1997" customFormat="1" ht="13.5" customHeight="1">
      <c r="A8" s="793" t="s">
        <v>1836</v>
      </c>
      <c r="B8" s="259" t="s">
        <v>466</v>
      </c>
      <c r="C8" s="2551">
        <f>'不动产比较法-住宅'!B3</f>
        <v>28462</v>
      </c>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23553.4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0">
        <f>'不动产比较法-住宅'!B2</f>
        <v>67038</v>
      </c>
      <c r="D10" s="2740"/>
      <c r="E10" s="2740"/>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1839</v>
      </c>
      <c r="B13" s="2560" t="s">
        <v>473</v>
      </c>
      <c r="C13" s="444">
        <f ca="1">IF(B1="",'数据-取费表'!P16,INDIRECT("'数据-取费表'!p"&amp;$K$1)+INDIRECT("'数据-取费表'!t"&amp;$K$1))</f>
        <v>7537</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226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226</v>
      </c>
      <c r="D15" s="2561"/>
      <c r="E15" s="2562"/>
      <c r="F15" s="2564">
        <f>'数据-取费表'!B34</f>
        <v>0.03</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471</v>
      </c>
      <c r="D16" s="2561">
        <f ca="1">IF(B1="",'数据-汇总表'!E3,INDIRECT("'数据-取费表'!K"&amp;$K$1)+INDIRECT("'数据-取费表'!S"&amp;$K$1))</f>
        <v>23553.4</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113</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8573</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236</v>
      </c>
      <c r="D19" s="2571">
        <f ca="1">D16</f>
        <v>23553.4</v>
      </c>
      <c r="E19" s="2525">
        <f>'数据-取费表'!B32</f>
        <v>100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353</v>
      </c>
      <c r="D20" s="2571"/>
      <c r="E20" s="2525"/>
      <c r="F20" s="2572"/>
      <c r="G20" s="2774"/>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353</v>
      </c>
      <c r="D21" s="2561">
        <f ca="1">IF(B1="",'数据-汇总表'!E5,IF(INDIRECT("'数据-取费表'!c"&amp;$K$1)="住宅",INDIRECT("'数据-取费表'!k"&amp;$K$1),0))</f>
        <v>23553.4</v>
      </c>
      <c r="E21" s="53">
        <f>'数据-取费表'!B27</f>
        <v>150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6" t="s">
        <v>2813</v>
      </c>
      <c r="C23" s="2569">
        <f ca="1">ROUND((C18+C19+C20)*F23,0)</f>
        <v>183</v>
      </c>
      <c r="D23" s="462"/>
      <c r="E23" s="462"/>
      <c r="F23" s="2573">
        <f>'数据-取费表'!B37</f>
        <v>0.02</v>
      </c>
      <c r="G23" s="2529" t="s">
        <v>2415</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1850</v>
      </c>
      <c r="B24" s="2746" t="s">
        <v>2816</v>
      </c>
      <c r="C24" s="2569">
        <f>ROUND(C6*F24,0)</f>
        <v>1341</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1851</v>
      </c>
      <c r="B25" s="2746"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1852</v>
      </c>
      <c r="B26" s="2747" t="s">
        <v>2815</v>
      </c>
      <c r="C26" s="2574">
        <f ca="1">C28</f>
        <v>465</v>
      </c>
      <c r="D26" s="461">
        <f ca="1">C27</f>
        <v>9.1499999999999998E-2</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1847</v>
      </c>
      <c r="B27" s="2575" t="s">
        <v>490</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1848</v>
      </c>
      <c r="B28" s="2575" t="s">
        <v>2817</v>
      </c>
      <c r="C28" s="2577">
        <f ca="1">ROUND(IF('数据-取费表'!B22&lt;=1,(C18+C19+C20+C23+C24)*F26*'数据-取费表'!B24/2,(C18+C19+C20+C23+C24)*(POWER((1+F26),'数据-取费表'!B24/2)-1)),0)</f>
        <v>465</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1853</v>
      </c>
      <c r="B29" s="2568" t="s">
        <v>491</v>
      </c>
      <c r="C29" s="2569">
        <f>ROUND(C6*F29/(1+'数据-取费表'!C42),0)</f>
        <v>3512</v>
      </c>
      <c r="D29" s="462"/>
      <c r="E29" s="462"/>
      <c r="F29" s="2748">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1854</v>
      </c>
      <c r="B30" s="2579" t="s">
        <v>494</v>
      </c>
      <c r="C30" s="2574">
        <f ca="1">C31</f>
        <v>14663</v>
      </c>
      <c r="D30" s="471">
        <f ca="1">C32</f>
        <v>0.1205</v>
      </c>
      <c r="E30" s="463" t="s">
        <v>489</v>
      </c>
      <c r="F30" s="465"/>
      <c r="G30" s="2537" t="s">
        <v>2932</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1847</v>
      </c>
      <c r="B31" s="2575"/>
      <c r="C31" s="444">
        <f ca="1">C18+C19+C20+C23+C24+C26+C29</f>
        <v>14663</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1848</v>
      </c>
      <c r="B32" s="2575"/>
      <c r="C32" s="53">
        <f ca="1">ROUND(C25+D26,4)</f>
        <v>0.1205</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5" t="s">
        <v>2812</v>
      </c>
      <c r="B33" s="2743" t="s">
        <v>2810</v>
      </c>
      <c r="C33" s="472">
        <f ca="1">C35</f>
        <v>2137</v>
      </c>
      <c r="D33" s="461">
        <f ca="1">C34</f>
        <v>0.20580000000000001</v>
      </c>
      <c r="E33" s="463" t="s">
        <v>489</v>
      </c>
      <c r="F33" s="473">
        <f ca="1">IF(B1="",'数据-取费表'!Q16,INDIRECT("'数据-取费表'!q"&amp;$K$1))</f>
        <v>0.2</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1847</v>
      </c>
      <c r="B34" s="2580" t="s">
        <v>495</v>
      </c>
      <c r="C34" s="466">
        <f ca="1">ROUND((1+C25)*F33,4)</f>
        <v>0.20580000000000001</v>
      </c>
      <c r="D34" s="466"/>
      <c r="E34" s="467"/>
      <c r="F34" s="474"/>
      <c r="G34" s="259" t="s">
        <v>2278</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1848</v>
      </c>
      <c r="B35" s="2744" t="s">
        <v>2818</v>
      </c>
      <c r="C35" s="1556">
        <f ca="1">ROUND((C18+C19+C20+C23+C24)*F33,0)</f>
        <v>2137</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1835</v>
      </c>
      <c r="B36" s="2543"/>
      <c r="C36" s="2582">
        <f ca="1">ROUND((C6-C30-C33)/(1+D30+D33),0)</f>
        <v>37878</v>
      </c>
      <c r="D36" s="2543"/>
      <c r="E36" s="2543"/>
      <c r="F36" s="2543"/>
      <c r="G36" s="2542" t="s">
        <v>2819</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1" t="s">
        <v>1839</v>
      </c>
      <c r="B13" s="443" t="s">
        <v>473</v>
      </c>
      <c r="C13" s="444">
        <f ca="1">IF(B1="",'数据-取费表'!M16,INDIRECT("'数据-取费表'!M"&amp;$K$1)+INDIRECT("'数据-取费表'!t"&amp;$K$1))</f>
        <v>7537</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226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226</v>
      </c>
      <c r="D15" s="445"/>
      <c r="E15" s="363"/>
      <c r="F15" s="447">
        <f>'数据-取费表'!B34</f>
        <v>0.03</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471</v>
      </c>
      <c r="D16" s="445">
        <f ca="1">IF(B1="",'数据-汇总表'!E3,INDIRECT("'数据-取费表'!K"&amp;$K$1)+INDIRECT("'数据-取费表'!S"&amp;$K$1))</f>
        <v>23553.4</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113</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8573</v>
      </c>
      <c r="D18" s="455"/>
      <c r="E18" s="456"/>
      <c r="F18" s="456"/>
      <c r="G18" s="1280" t="s">
        <v>2416</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2" t="s">
        <v>1845</v>
      </c>
      <c r="B19" s="453" t="s">
        <v>487</v>
      </c>
      <c r="C19" s="454">
        <f ca="1">ROUND(C18*F19,0)</f>
        <v>171</v>
      </c>
      <c r="D19" s="456"/>
      <c r="E19" s="456"/>
      <c r="F19" s="460">
        <f>'数据-取费表'!B37</f>
        <v>0.02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2" t="s">
        <v>1846</v>
      </c>
      <c r="B20" s="453" t="s">
        <v>498</v>
      </c>
      <c r="C20" s="2741">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2" t="s">
        <v>1849</v>
      </c>
      <c r="B21" s="455" t="s">
        <v>488</v>
      </c>
      <c r="C21" s="464">
        <f ca="1">C22</f>
        <v>380</v>
      </c>
      <c r="D21" s="461">
        <f ca="1">C23</f>
        <v>8.9999999999999998E-4</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2437</v>
      </c>
      <c r="M21" s="3206"/>
      <c r="N21" s="3206"/>
      <c r="O21" s="3206"/>
      <c r="P21" s="3206"/>
      <c r="Q21" s="3199"/>
      <c r="R21" s="3199"/>
      <c r="S21" s="3199"/>
      <c r="T21" s="3199"/>
      <c r="U21" s="3199"/>
      <c r="V21" s="3199"/>
      <c r="W21" s="3199"/>
      <c r="X21" s="3199"/>
      <c r="Y21" s="3199"/>
      <c r="Z21" s="3199"/>
    </row>
    <row r="22" spans="1:26" s="2002" customFormat="1" ht="13.5" customHeight="1">
      <c r="A22" s="1561" t="s">
        <v>1839</v>
      </c>
      <c r="B22" s="1281" t="s">
        <v>2419</v>
      </c>
      <c r="C22" s="481">
        <f ca="1">ROUND(IF('数据-取费表'!B22&lt;=1,(C18+C19)*F21*'数据-取费表'!B20/2,(C18+C19)*(POWER((1+F21),'数据-取费表'!B20/2)-1)),0)</f>
        <v>380</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1" t="s">
        <v>1840</v>
      </c>
      <c r="B23" s="1281" t="s">
        <v>502</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2" t="s">
        <v>1850</v>
      </c>
      <c r="B24" s="2743" t="s">
        <v>2811</v>
      </c>
      <c r="C24" s="472">
        <f ca="1">C25</f>
        <v>1749</v>
      </c>
      <c r="D24" s="483">
        <f ca="1">C26</f>
        <v>4.0000000000000001E-3</v>
      </c>
      <c r="E24" s="463" t="s">
        <v>501</v>
      </c>
      <c r="F24" s="473">
        <f ca="1">IF(B1="",'数据-取费表'!Q16,INDIRECT("'数据-取费表'!q"&amp;$K$1))</f>
        <v>0.2</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1" t="s">
        <v>1839</v>
      </c>
      <c r="B25" s="1281" t="s">
        <v>2420</v>
      </c>
      <c r="C25" s="484">
        <f ca="1">ROUND((C18+C19)*F24,0)</f>
        <v>1749</v>
      </c>
      <c r="D25" s="466"/>
      <c r="E25" s="467"/>
      <c r="F25" s="474"/>
      <c r="G25" s="1279" t="s">
        <v>2417</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1" t="s">
        <v>1840</v>
      </c>
      <c r="B26" s="1281" t="s">
        <v>503</v>
      </c>
      <c r="C26" s="485">
        <f ca="1">ROUND(F20*F24,4)</f>
        <v>4.0000000000000001E-3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5" t="s">
        <v>1858</v>
      </c>
      <c r="B27" s="453" t="s">
        <v>505</v>
      </c>
      <c r="C27" s="2742">
        <f>ROUND(F27/(1+'数据-取费表'!C42),4)</f>
        <v>5.2400000000000002E-2</v>
      </c>
      <c r="D27" s="456" t="s">
        <v>2809</v>
      </c>
      <c r="E27" s="456"/>
      <c r="F27" s="460">
        <f>'数据-取费表'!B41</f>
        <v>5.5000000000000007E-2</v>
      </c>
      <c r="G27" s="1874" t="s">
        <v>2279</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5" t="s">
        <v>1859</v>
      </c>
      <c r="B28" s="470" t="s">
        <v>506</v>
      </c>
      <c r="C28" s="464">
        <f ca="1">ROUND((C18+C19+C21+C24)/(1-C20-D21-D24-C27),0)</f>
        <v>11784</v>
      </c>
      <c r="D28" s="471"/>
      <c r="E28" s="463"/>
      <c r="F28" s="465"/>
      <c r="G28" s="1280" t="s">
        <v>2418</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1856</v>
      </c>
      <c r="B31" s="1283"/>
      <c r="C31" s="494">
        <f>ROUND(C6*F31/(1+'数据-取费表'!C42),0)</f>
        <v>0</v>
      </c>
      <c r="D31" s="1284"/>
      <c r="E31" s="1284"/>
      <c r="F31" s="495">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2933</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1676</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21" t="s">
        <v>516</v>
      </c>
      <c r="D6" s="3522"/>
      <c r="E6" s="3546" t="s">
        <v>517</v>
      </c>
      <c r="F6" s="3547"/>
      <c r="G6" s="3521" t="s">
        <v>518</v>
      </c>
      <c r="H6" s="3522"/>
      <c r="I6" s="3521" t="s">
        <v>519</v>
      </c>
      <c r="J6" s="3522"/>
      <c r="K6" s="508" t="s">
        <v>520</v>
      </c>
      <c r="L6" s="2015"/>
      <c r="M6" s="2016"/>
      <c r="N6" s="2016"/>
      <c r="O6" s="2016"/>
      <c r="P6" s="3523" t="s">
        <v>521</v>
      </c>
      <c r="Q6" s="3524"/>
      <c r="R6" s="3509" t="s">
        <v>517</v>
      </c>
      <c r="S6" s="3510"/>
      <c r="T6" s="3509" t="s">
        <v>518</v>
      </c>
      <c r="U6" s="3510"/>
      <c r="V6" s="3529" t="s">
        <v>519</v>
      </c>
      <c r="W6" s="3529"/>
      <c r="X6" s="1501"/>
      <c r="Y6" s="3509" t="s">
        <v>521</v>
      </c>
      <c r="Z6" s="3510"/>
      <c r="AA6" s="3504" t="s">
        <v>517</v>
      </c>
      <c r="AB6" s="3505" t="s">
        <v>518</v>
      </c>
      <c r="AC6" s="3504" t="s">
        <v>519</v>
      </c>
    </row>
    <row r="7" spans="1:29" ht="15">
      <c r="A7" s="509"/>
      <c r="B7" s="510"/>
      <c r="C7" s="3532" t="s">
        <v>2893</v>
      </c>
      <c r="D7" s="3533"/>
      <c r="E7" s="3548" t="s">
        <v>2894</v>
      </c>
      <c r="F7" s="3549"/>
      <c r="G7" s="3532" t="s">
        <v>2895</v>
      </c>
      <c r="H7" s="3533"/>
      <c r="I7" s="3532" t="s">
        <v>2896</v>
      </c>
      <c r="J7" s="3533"/>
      <c r="K7" s="508"/>
      <c r="L7" s="2015"/>
      <c r="M7" s="2016"/>
      <c r="N7" s="2016"/>
      <c r="O7" s="2016"/>
      <c r="P7" s="3525"/>
      <c r="Q7" s="3526"/>
      <c r="R7" s="3511"/>
      <c r="S7" s="3512"/>
      <c r="T7" s="3511"/>
      <c r="U7" s="3512"/>
      <c r="V7" s="3529"/>
      <c r="W7" s="3529"/>
      <c r="X7" s="1501"/>
      <c r="Y7" s="3511"/>
      <c r="Z7" s="3512"/>
      <c r="AA7" s="3505"/>
      <c r="AB7" s="3505"/>
      <c r="AC7" s="3505"/>
    </row>
    <row r="8" spans="1:29" ht="15.75" thickBot="1">
      <c r="A8" s="511"/>
      <c r="B8" s="512"/>
      <c r="C8" s="3530" t="s">
        <v>2897</v>
      </c>
      <c r="D8" s="3531"/>
      <c r="E8" s="3550" t="s">
        <v>2897</v>
      </c>
      <c r="F8" s="3551"/>
      <c r="G8" s="3530" t="s">
        <v>2897</v>
      </c>
      <c r="H8" s="3531"/>
      <c r="I8" s="3530" t="s">
        <v>2897</v>
      </c>
      <c r="J8" s="3531"/>
      <c r="K8" s="508" t="s">
        <v>522</v>
      </c>
      <c r="L8" s="2015"/>
      <c r="M8" s="2016"/>
      <c r="N8" s="2016"/>
      <c r="O8" s="2016"/>
      <c r="P8" s="3527"/>
      <c r="Q8" s="3528"/>
      <c r="R8" s="3511"/>
      <c r="S8" s="3512"/>
      <c r="T8" s="3513"/>
      <c r="U8" s="3514"/>
      <c r="V8" s="3529"/>
      <c r="W8" s="3529"/>
      <c r="X8" s="1501"/>
      <c r="Y8" s="3513"/>
      <c r="Z8" s="3514"/>
      <c r="AA8" s="3506"/>
      <c r="AB8" s="3506"/>
      <c r="AC8" s="3506"/>
    </row>
    <row r="9" spans="1:29" s="1202" customFormat="1" ht="15.75" thickBot="1">
      <c r="A9" s="2628"/>
      <c r="B9" s="2635" t="s">
        <v>523</v>
      </c>
      <c r="C9" s="513">
        <f>'数据-取费表'!B2</f>
        <v>44315</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7" t="s">
        <v>524</v>
      </c>
      <c r="Q9" s="3516"/>
      <c r="R9" s="1502" t="s">
        <v>8</v>
      </c>
      <c r="S9" s="1503">
        <f t="shared" ref="S9:S17" si="0">F9</f>
        <v>0</v>
      </c>
      <c r="T9" s="1502" t="s">
        <v>8</v>
      </c>
      <c r="U9" s="1503">
        <f t="shared" ref="U9:U17" si="1">H9</f>
        <v>0</v>
      </c>
      <c r="V9" s="1502" t="s">
        <v>8</v>
      </c>
      <c r="W9" s="1503">
        <f t="shared" ref="W9:W17" si="2">J9</f>
        <v>0</v>
      </c>
      <c r="X9" s="1504"/>
      <c r="Y9" s="3507" t="s">
        <v>524</v>
      </c>
      <c r="Z9" s="3508"/>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7" t="s">
        <v>527</v>
      </c>
      <c r="Q10" s="3508"/>
      <c r="R10" s="1502" t="s">
        <v>8</v>
      </c>
      <c r="S10" s="1503">
        <f t="shared" si="0"/>
        <v>0</v>
      </c>
      <c r="T10" s="1502" t="s">
        <v>8</v>
      </c>
      <c r="U10" s="1503">
        <f t="shared" si="1"/>
        <v>0</v>
      </c>
      <c r="V10" s="1502" t="s">
        <v>8</v>
      </c>
      <c r="W10" s="1503">
        <f t="shared" si="2"/>
        <v>0</v>
      </c>
      <c r="X10" s="1504"/>
      <c r="Y10" s="3507" t="s">
        <v>527</v>
      </c>
      <c r="Z10" s="3508"/>
      <c r="AA10" s="1505" t="e">
        <f t="shared" ref="AA10:AA42" si="3">D10/F10</f>
        <v>#DIV/0!</v>
      </c>
      <c r="AB10" s="1505" t="e">
        <f t="shared" ref="AB10:AB42" si="4">D10/H10</f>
        <v>#DIV/0!</v>
      </c>
      <c r="AC10" s="1505"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15" t="s">
        <v>529</v>
      </c>
      <c r="Q11" s="1133" t="str">
        <f t="shared" ref="Q11:Q17" si="6">B11</f>
        <v>用途</v>
      </c>
      <c r="R11" s="1502" t="s">
        <v>8</v>
      </c>
      <c r="S11" s="1503">
        <f t="shared" si="0"/>
        <v>100</v>
      </c>
      <c r="T11" s="1502" t="s">
        <v>8</v>
      </c>
      <c r="U11" s="1503">
        <f t="shared" si="1"/>
        <v>100</v>
      </c>
      <c r="V11" s="1502" t="s">
        <v>8</v>
      </c>
      <c r="W11" s="1503">
        <f t="shared" si="2"/>
        <v>100</v>
      </c>
      <c r="X11" s="1504"/>
      <c r="Y11" s="3466" t="s">
        <v>530</v>
      </c>
      <c r="Z11" s="1132" t="str">
        <f t="shared" ref="Z11:Z17" si="7">Q11</f>
        <v>用途</v>
      </c>
      <c r="AA11" s="1505">
        <f t="shared" si="3"/>
        <v>1</v>
      </c>
      <c r="AB11" s="1505">
        <f t="shared" si="4"/>
        <v>1</v>
      </c>
      <c r="AC11" s="1505">
        <f t="shared" si="5"/>
        <v>1</v>
      </c>
    </row>
    <row r="12" spans="1:29" s="1291" customFormat="1" ht="27">
      <c r="A12" s="2631"/>
      <c r="B12" s="2636" t="s">
        <v>2737</v>
      </c>
      <c r="C12" s="522"/>
      <c r="D12" s="253">
        <v>100</v>
      </c>
      <c r="E12" s="522"/>
      <c r="F12" s="253">
        <f>ROUND(100/'数据-取费表'!G16,0)</f>
        <v>104</v>
      </c>
      <c r="G12" s="522"/>
      <c r="H12" s="253">
        <f>ROUND(100/'数据-取费表'!G16,0)</f>
        <v>104</v>
      </c>
      <c r="I12" s="522"/>
      <c r="J12" s="253">
        <f>ROUND(100/'数据-取费表'!G16,0)</f>
        <v>104</v>
      </c>
      <c r="K12" s="525"/>
      <c r="L12" s="2020"/>
      <c r="M12" s="2059"/>
      <c r="N12" s="2059"/>
      <c r="O12" s="2021"/>
      <c r="P12" s="3515"/>
      <c r="Q12" s="1133" t="str">
        <f t="shared" si="6"/>
        <v>土地使用年限（年）</v>
      </c>
      <c r="R12" s="1502" t="s">
        <v>8</v>
      </c>
      <c r="S12" s="1503">
        <f t="shared" si="0"/>
        <v>104</v>
      </c>
      <c r="T12" s="1502" t="s">
        <v>8</v>
      </c>
      <c r="U12" s="1503">
        <f t="shared" si="1"/>
        <v>104</v>
      </c>
      <c r="V12" s="1502" t="s">
        <v>8</v>
      </c>
      <c r="W12" s="1503">
        <f t="shared" si="2"/>
        <v>104</v>
      </c>
      <c r="X12" s="1504"/>
      <c r="Y12" s="3466"/>
      <c r="Z12" s="1132" t="str">
        <f t="shared" si="7"/>
        <v>土地使用年限（年）</v>
      </c>
      <c r="AA12" s="1505">
        <f t="shared" si="3"/>
        <v>0.96153846153846156</v>
      </c>
      <c r="AB12" s="1505">
        <f t="shared" si="4"/>
        <v>0.96153846153846156</v>
      </c>
      <c r="AC12" s="1505">
        <f t="shared" si="5"/>
        <v>0.96153846153846156</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15"/>
      <c r="Q13" s="1133" t="str">
        <f t="shared" si="6"/>
        <v>容积率</v>
      </c>
      <c r="R13" s="1502" t="s">
        <v>8</v>
      </c>
      <c r="S13" s="1503" t="e">
        <f t="shared" si="0"/>
        <v>#N/A</v>
      </c>
      <c r="T13" s="1502" t="s">
        <v>8</v>
      </c>
      <c r="U13" s="1503" t="e">
        <f t="shared" si="1"/>
        <v>#N/A</v>
      </c>
      <c r="V13" s="1502" t="s">
        <v>8</v>
      </c>
      <c r="W13" s="1503" t="e">
        <f t="shared" si="2"/>
        <v>#N/A</v>
      </c>
      <c r="X13" s="1504"/>
      <c r="Y13" s="3466"/>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15"/>
      <c r="Q14" s="1133">
        <f t="shared" si="6"/>
        <v>111</v>
      </c>
      <c r="R14" s="1502" t="s">
        <v>8</v>
      </c>
      <c r="S14" s="1503">
        <f t="shared" si="0"/>
        <v>100</v>
      </c>
      <c r="T14" s="1502" t="s">
        <v>8</v>
      </c>
      <c r="U14" s="1503">
        <f t="shared" si="1"/>
        <v>100</v>
      </c>
      <c r="V14" s="1502" t="s">
        <v>8</v>
      </c>
      <c r="W14" s="1503">
        <f t="shared" si="2"/>
        <v>100</v>
      </c>
      <c r="X14" s="1504"/>
      <c r="Y14" s="3466"/>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15"/>
      <c r="Q15" s="1133">
        <f t="shared" si="6"/>
        <v>111</v>
      </c>
      <c r="R15" s="1502" t="s">
        <v>8</v>
      </c>
      <c r="S15" s="1503">
        <f t="shared" si="0"/>
        <v>100</v>
      </c>
      <c r="T15" s="1502" t="s">
        <v>8</v>
      </c>
      <c r="U15" s="1503">
        <f t="shared" si="1"/>
        <v>100</v>
      </c>
      <c r="V15" s="1502" t="s">
        <v>8</v>
      </c>
      <c r="W15" s="1503">
        <f t="shared" si="2"/>
        <v>100</v>
      </c>
      <c r="X15" s="1504"/>
      <c r="Y15" s="3466"/>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15"/>
      <c r="Q16" s="1133">
        <f t="shared" si="6"/>
        <v>111</v>
      </c>
      <c r="R16" s="1502" t="s">
        <v>8</v>
      </c>
      <c r="S16" s="1503">
        <f t="shared" si="0"/>
        <v>100</v>
      </c>
      <c r="T16" s="1502" t="s">
        <v>8</v>
      </c>
      <c r="U16" s="1503">
        <f t="shared" si="1"/>
        <v>100</v>
      </c>
      <c r="V16" s="1502" t="s">
        <v>8</v>
      </c>
      <c r="W16" s="1503">
        <f t="shared" si="2"/>
        <v>100</v>
      </c>
      <c r="X16" s="1504"/>
      <c r="Y16" s="3466"/>
      <c r="Z16" s="1132">
        <f t="shared" si="7"/>
        <v>111</v>
      </c>
      <c r="AA16" s="1505">
        <f t="shared" si="3"/>
        <v>1</v>
      </c>
      <c r="AB16" s="1505">
        <f t="shared" si="4"/>
        <v>1</v>
      </c>
      <c r="AC16" s="1505">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17" t="s">
        <v>534</v>
      </c>
      <c r="Q17" s="1506" t="str">
        <f t="shared" si="6"/>
        <v>产业集聚程度</v>
      </c>
      <c r="R17" s="1507" t="s">
        <v>8</v>
      </c>
      <c r="S17" s="1508">
        <f t="shared" si="0"/>
        <v>100</v>
      </c>
      <c r="T17" s="1507" t="s">
        <v>8</v>
      </c>
      <c r="U17" s="1508">
        <f t="shared" si="1"/>
        <v>100</v>
      </c>
      <c r="V17" s="1507" t="s">
        <v>8</v>
      </c>
      <c r="W17" s="1508">
        <f t="shared" si="2"/>
        <v>100</v>
      </c>
      <c r="X17" s="1501"/>
      <c r="Y17" s="3517"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18"/>
      <c r="Q18" s="1506"/>
      <c r="R18" s="1507"/>
      <c r="S18" s="1508"/>
      <c r="T18" s="1507"/>
      <c r="U18" s="1508"/>
      <c r="V18" s="1507"/>
      <c r="W18" s="1508"/>
      <c r="X18" s="1501"/>
      <c r="Y18" s="3518"/>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18"/>
      <c r="Q19" s="1506" t="str">
        <f>B19</f>
        <v>交通便捷度</v>
      </c>
      <c r="R19" s="1507" t="s">
        <v>8</v>
      </c>
      <c r="S19" s="1508">
        <f>F19</f>
        <v>100</v>
      </c>
      <c r="T19" s="1507" t="s">
        <v>8</v>
      </c>
      <c r="U19" s="1508">
        <f>H19</f>
        <v>100</v>
      </c>
      <c r="V19" s="1507" t="s">
        <v>8</v>
      </c>
      <c r="W19" s="1508">
        <f>J19</f>
        <v>100</v>
      </c>
      <c r="X19" s="1501"/>
      <c r="Y19" s="3518"/>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18"/>
      <c r="Q20" s="1506"/>
      <c r="R20" s="1507"/>
      <c r="S20" s="1508"/>
      <c r="T20" s="1507"/>
      <c r="U20" s="1508"/>
      <c r="V20" s="1507"/>
      <c r="W20" s="1508"/>
      <c r="X20" s="1501"/>
      <c r="Y20" s="3518"/>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18"/>
      <c r="Q21" s="1506" t="str">
        <f t="shared" ref="Q21:Q35" si="8">B21</f>
        <v>区域土地利用方向</v>
      </c>
      <c r="R21" s="1507" t="s">
        <v>8</v>
      </c>
      <c r="S21" s="1508">
        <f>F21</f>
        <v>100</v>
      </c>
      <c r="T21" s="1507" t="s">
        <v>8</v>
      </c>
      <c r="U21" s="1508">
        <f>H21</f>
        <v>100</v>
      </c>
      <c r="V21" s="1507" t="s">
        <v>8</v>
      </c>
      <c r="W21" s="1508">
        <f>J21</f>
        <v>100</v>
      </c>
      <c r="X21" s="1501"/>
      <c r="Y21" s="3518"/>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18"/>
      <c r="Q22" s="1506"/>
      <c r="R22" s="1507"/>
      <c r="S22" s="1508"/>
      <c r="T22" s="1507"/>
      <c r="U22" s="1508"/>
      <c r="V22" s="1507"/>
      <c r="W22" s="1508"/>
      <c r="X22" s="1501"/>
      <c r="Y22" s="3518"/>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18"/>
      <c r="Q23" s="1506" t="str">
        <f t="shared" si="8"/>
        <v>环境状况</v>
      </c>
      <c r="R23" s="1507" t="s">
        <v>8</v>
      </c>
      <c r="S23" s="1508">
        <f>F23</f>
        <v>100</v>
      </c>
      <c r="T23" s="1507" t="s">
        <v>8</v>
      </c>
      <c r="U23" s="1508">
        <f>H23</f>
        <v>100</v>
      </c>
      <c r="V23" s="1507" t="s">
        <v>8</v>
      </c>
      <c r="W23" s="1508">
        <f>J23</f>
        <v>100</v>
      </c>
      <c r="X23" s="1501"/>
      <c r="Y23" s="3518"/>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18"/>
      <c r="Q24" s="1506"/>
      <c r="R24" s="1507"/>
      <c r="S24" s="1508"/>
      <c r="T24" s="1507"/>
      <c r="U24" s="1508"/>
      <c r="V24" s="1507"/>
      <c r="W24" s="1508"/>
      <c r="X24" s="1501"/>
      <c r="Y24" s="3518"/>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18"/>
      <c r="Q25" s="1133" t="str">
        <f t="shared" si="8"/>
        <v>公共配套设施</v>
      </c>
      <c r="R25" s="1502" t="s">
        <v>8</v>
      </c>
      <c r="S25" s="1503">
        <f>F25</f>
        <v>100</v>
      </c>
      <c r="T25" s="1502" t="s">
        <v>8</v>
      </c>
      <c r="U25" s="1503">
        <f>H25</f>
        <v>100</v>
      </c>
      <c r="V25" s="1502" t="s">
        <v>8</v>
      </c>
      <c r="W25" s="1503">
        <f>J25</f>
        <v>100</v>
      </c>
      <c r="X25" s="1504"/>
      <c r="Y25" s="3518"/>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18"/>
      <c r="Q26" s="1133"/>
      <c r="R26" s="1502"/>
      <c r="S26" s="1503"/>
      <c r="T26" s="1502"/>
      <c r="U26" s="1503"/>
      <c r="V26" s="1502"/>
      <c r="W26" s="1503"/>
      <c r="X26" s="1504"/>
      <c r="Y26" s="3518"/>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18"/>
      <c r="Q27" s="2428" t="str">
        <f t="shared" ref="Q27" si="9">B27</f>
        <v>基础设施水平</v>
      </c>
      <c r="R27" s="1502" t="s">
        <v>8</v>
      </c>
      <c r="S27" s="1503">
        <f>F27</f>
        <v>100</v>
      </c>
      <c r="T27" s="1502" t="s">
        <v>8</v>
      </c>
      <c r="U27" s="1503">
        <f>H27</f>
        <v>100</v>
      </c>
      <c r="V27" s="1502" t="s">
        <v>8</v>
      </c>
      <c r="W27" s="1503">
        <f>J27</f>
        <v>100</v>
      </c>
      <c r="X27" s="1504"/>
      <c r="Y27" s="3518"/>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18"/>
      <c r="Q28" s="2428"/>
      <c r="R28" s="1502"/>
      <c r="S28" s="1503"/>
      <c r="T28" s="1502"/>
      <c r="U28" s="1503"/>
      <c r="V28" s="1502"/>
      <c r="W28" s="1503"/>
      <c r="X28" s="1504"/>
      <c r="Y28" s="3518"/>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18"/>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8"/>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18"/>
      <c r="Q30" s="1506" t="str">
        <f t="shared" si="8"/>
        <v>毗邻道路的类型与等级</v>
      </c>
      <c r="R30" s="1507" t="s">
        <v>8</v>
      </c>
      <c r="S30" s="1508">
        <f t="shared" si="10"/>
        <v>100</v>
      </c>
      <c r="T30" s="1507" t="s">
        <v>8</v>
      </c>
      <c r="U30" s="1508">
        <f t="shared" si="11"/>
        <v>100</v>
      </c>
      <c r="V30" s="1507" t="s">
        <v>8</v>
      </c>
      <c r="W30" s="1508">
        <f t="shared" si="12"/>
        <v>100</v>
      </c>
      <c r="X30" s="1501"/>
      <c r="Y30" s="3518"/>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18"/>
      <c r="Q31" s="1506"/>
      <c r="R31" s="1507"/>
      <c r="S31" s="1508"/>
      <c r="T31" s="1507"/>
      <c r="U31" s="1508"/>
      <c r="V31" s="1507"/>
      <c r="W31" s="1508"/>
      <c r="X31" s="1501"/>
      <c r="Y31" s="3518"/>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18"/>
      <c r="Q32" s="1506" t="str">
        <f t="shared" si="8"/>
        <v>土地级别</v>
      </c>
      <c r="R32" s="1507" t="s">
        <v>8</v>
      </c>
      <c r="S32" s="1508">
        <f t="shared" si="10"/>
        <v>100</v>
      </c>
      <c r="T32" s="1507" t="s">
        <v>8</v>
      </c>
      <c r="U32" s="1508">
        <f t="shared" si="11"/>
        <v>100</v>
      </c>
      <c r="V32" s="1507" t="s">
        <v>8</v>
      </c>
      <c r="W32" s="1508">
        <f t="shared" si="12"/>
        <v>100</v>
      </c>
      <c r="X32" s="1501"/>
      <c r="Y32" s="3518"/>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18"/>
      <c r="Q33" s="1506">
        <f t="shared" si="8"/>
        <v>111</v>
      </c>
      <c r="R33" s="1507" t="s">
        <v>8</v>
      </c>
      <c r="S33" s="1508">
        <f t="shared" si="10"/>
        <v>100</v>
      </c>
      <c r="T33" s="1507" t="s">
        <v>8</v>
      </c>
      <c r="U33" s="1508">
        <f t="shared" si="11"/>
        <v>100</v>
      </c>
      <c r="V33" s="1507" t="s">
        <v>8</v>
      </c>
      <c r="W33" s="1508">
        <f t="shared" si="12"/>
        <v>100</v>
      </c>
      <c r="X33" s="1501"/>
      <c r="Y33" s="3518"/>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9" t="s">
        <v>544</v>
      </c>
      <c r="Q34" s="1506">
        <f t="shared" si="8"/>
        <v>111</v>
      </c>
      <c r="R34" s="1507" t="s">
        <v>8</v>
      </c>
      <c r="S34" s="1508">
        <f t="shared" si="10"/>
        <v>100</v>
      </c>
      <c r="T34" s="1507" t="s">
        <v>8</v>
      </c>
      <c r="U34" s="1508">
        <f t="shared" si="11"/>
        <v>100</v>
      </c>
      <c r="V34" s="1507" t="s">
        <v>8</v>
      </c>
      <c r="W34" s="1508">
        <f t="shared" si="12"/>
        <v>100</v>
      </c>
      <c r="X34" s="1501"/>
      <c r="Y34" s="3520"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0"/>
      <c r="Q35" s="1506">
        <f t="shared" si="8"/>
        <v>111</v>
      </c>
      <c r="R35" s="1511" t="s">
        <v>8</v>
      </c>
      <c r="S35" s="1512">
        <f t="shared" si="10"/>
        <v>100</v>
      </c>
      <c r="T35" s="1511" t="s">
        <v>8</v>
      </c>
      <c r="U35" s="1512">
        <f t="shared" si="11"/>
        <v>100</v>
      </c>
      <c r="V35" s="1511" t="s">
        <v>8</v>
      </c>
      <c r="W35" s="1512">
        <f t="shared" si="12"/>
        <v>100</v>
      </c>
      <c r="X35" s="1513"/>
      <c r="Y35" s="3520"/>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0"/>
      <c r="Q36" s="1506" t="str">
        <f>B36</f>
        <v>宗地面积</v>
      </c>
      <c r="R36" s="1507" t="s">
        <v>8</v>
      </c>
      <c r="S36" s="1508" t="e">
        <f t="shared" si="10"/>
        <v>#N/A</v>
      </c>
      <c r="T36" s="1507" t="s">
        <v>8</v>
      </c>
      <c r="U36" s="1508" t="e">
        <f t="shared" si="11"/>
        <v>#N/A</v>
      </c>
      <c r="V36" s="1507" t="s">
        <v>8</v>
      </c>
      <c r="W36" s="1508" t="e">
        <f t="shared" si="12"/>
        <v>#N/A</v>
      </c>
      <c r="X36" s="1501"/>
      <c r="Y36" s="3520"/>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0"/>
      <c r="Q37" s="1506" t="str">
        <f t="shared" ref="Q37:Q42" si="14">B37</f>
        <v>宗地形状</v>
      </c>
      <c r="R37" s="1507" t="s">
        <v>8</v>
      </c>
      <c r="S37" s="1508">
        <f t="shared" si="10"/>
        <v>100</v>
      </c>
      <c r="T37" s="1507" t="s">
        <v>8</v>
      </c>
      <c r="U37" s="1508">
        <f t="shared" si="11"/>
        <v>100</v>
      </c>
      <c r="V37" s="1507" t="s">
        <v>8</v>
      </c>
      <c r="W37" s="1508">
        <f t="shared" si="12"/>
        <v>100</v>
      </c>
      <c r="X37" s="1501"/>
      <c r="Y37" s="3520"/>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0"/>
      <c r="Q38" s="1506" t="str">
        <f t="shared" si="14"/>
        <v>宗地开发程度</v>
      </c>
      <c r="R38" s="1502" t="s">
        <v>8</v>
      </c>
      <c r="S38" s="1503">
        <f t="shared" si="10"/>
        <v>100</v>
      </c>
      <c r="T38" s="1502" t="s">
        <v>8</v>
      </c>
      <c r="U38" s="1503">
        <f t="shared" si="11"/>
        <v>100</v>
      </c>
      <c r="V38" s="1502" t="s">
        <v>8</v>
      </c>
      <c r="W38" s="1503">
        <f t="shared" si="12"/>
        <v>100</v>
      </c>
      <c r="X38" s="1504"/>
      <c r="Y38" s="3520"/>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0" t="s">
        <v>595</v>
      </c>
      <c r="Q39" s="1506" t="str">
        <f t="shared" si="14"/>
        <v>工程地质条件</v>
      </c>
      <c r="R39" s="1507" t="s">
        <v>8</v>
      </c>
      <c r="S39" s="1508">
        <f t="shared" si="10"/>
        <v>100</v>
      </c>
      <c r="T39" s="1507" t="s">
        <v>8</v>
      </c>
      <c r="U39" s="1508">
        <f t="shared" si="11"/>
        <v>100</v>
      </c>
      <c r="V39" s="1507" t="s">
        <v>8</v>
      </c>
      <c r="W39" s="1508">
        <f t="shared" si="12"/>
        <v>100</v>
      </c>
      <c r="X39" s="1501"/>
      <c r="Y39" s="3520"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0"/>
      <c r="Q40" s="1506">
        <f t="shared" si="14"/>
        <v>111</v>
      </c>
      <c r="R40" s="1507" t="s">
        <v>8</v>
      </c>
      <c r="S40" s="1508">
        <f t="shared" si="10"/>
        <v>100</v>
      </c>
      <c r="T40" s="1507" t="s">
        <v>8</v>
      </c>
      <c r="U40" s="1508">
        <f t="shared" si="11"/>
        <v>100</v>
      </c>
      <c r="V40" s="1507" t="s">
        <v>8</v>
      </c>
      <c r="W40" s="1508">
        <f t="shared" si="12"/>
        <v>100</v>
      </c>
      <c r="X40" s="1501"/>
      <c r="Y40" s="3520"/>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0"/>
      <c r="Q41" s="1506">
        <f t="shared" si="14"/>
        <v>111</v>
      </c>
      <c r="R41" s="1507" t="s">
        <v>8</v>
      </c>
      <c r="S41" s="1508">
        <f t="shared" si="10"/>
        <v>100</v>
      </c>
      <c r="T41" s="1507" t="s">
        <v>8</v>
      </c>
      <c r="U41" s="1508">
        <f t="shared" si="11"/>
        <v>100</v>
      </c>
      <c r="V41" s="1507" t="s">
        <v>8</v>
      </c>
      <c r="W41" s="1508">
        <f t="shared" si="12"/>
        <v>100</v>
      </c>
      <c r="X41" s="1501"/>
      <c r="Y41" s="3520"/>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0"/>
      <c r="Q42" s="1506">
        <f t="shared" si="14"/>
        <v>111</v>
      </c>
      <c r="R42" s="1511" t="s">
        <v>8</v>
      </c>
      <c r="S42" s="1512">
        <f t="shared" si="10"/>
        <v>100</v>
      </c>
      <c r="T42" s="1511" t="s">
        <v>8</v>
      </c>
      <c r="U42" s="1512">
        <f t="shared" si="11"/>
        <v>100</v>
      </c>
      <c r="V42" s="1511" t="s">
        <v>8</v>
      </c>
      <c r="W42" s="1512">
        <f t="shared" si="12"/>
        <v>100</v>
      </c>
      <c r="X42" s="1513"/>
      <c r="Y42" s="3520"/>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6"/>
      <c r="M43" s="2016"/>
      <c r="N43" s="2016"/>
      <c r="O43" s="2027"/>
      <c r="P43" s="3515" t="str">
        <f>A43</f>
        <v>成交单价</v>
      </c>
      <c r="Q43" s="3515"/>
      <c r="R43" s="3529">
        <f>E43</f>
        <v>0</v>
      </c>
      <c r="S43" s="3529"/>
      <c r="T43" s="3529">
        <f>G43</f>
        <v>0</v>
      </c>
      <c r="U43" s="3529"/>
      <c r="V43" s="3529">
        <f>I43</f>
        <v>0</v>
      </c>
      <c r="W43" s="3529"/>
      <c r="X43" s="1496"/>
      <c r="Y43" s="1515"/>
      <c r="Z43" s="1496"/>
      <c r="AA43" s="1496"/>
      <c r="AB43" s="1496"/>
      <c r="AC43" s="1496"/>
    </row>
    <row r="44" spans="1:29" ht="15.75" thickBot="1">
      <c r="A44" s="609" t="s">
        <v>2673</v>
      </c>
      <c r="B44" s="610"/>
      <c r="C44" s="611" t="e">
        <f>R45</f>
        <v>#DIV/0!</v>
      </c>
      <c r="D44" s="3012" t="s">
        <v>2967</v>
      </c>
      <c r="E44" s="611" t="e">
        <f>R44</f>
        <v>#DIV/0!</v>
      </c>
      <c r="F44" s="3013"/>
      <c r="G44" s="612" t="e">
        <f>T44</f>
        <v>#DIV/0!</v>
      </c>
      <c r="H44" s="3013"/>
      <c r="I44" s="611" t="e">
        <f>V44</f>
        <v>#DIV/0!</v>
      </c>
      <c r="J44" s="3013"/>
      <c r="K44" s="3014">
        <f>F44+H44+J44</f>
        <v>0</v>
      </c>
      <c r="L44" s="2026"/>
      <c r="M44" s="2016"/>
      <c r="N44" s="2016"/>
      <c r="O44" s="2027"/>
      <c r="P44" s="3515" t="str">
        <f>A44</f>
        <v>比较价格（元/平方米）</v>
      </c>
      <c r="Q44" s="3515"/>
      <c r="R44" s="3539" t="e">
        <f>ROUND(PRODUCT(R43,AA9:AA42),0)</f>
        <v>#DIV/0!</v>
      </c>
      <c r="S44" s="3539"/>
      <c r="T44" s="3539" t="e">
        <f>ROUND(PRODUCT(T43,AB9:AB42),0)</f>
        <v>#DIV/0!</v>
      </c>
      <c r="U44" s="3539"/>
      <c r="V44" s="3539" t="e">
        <f>ROUND(PRODUCT(V43,AC9:AC42),0)</f>
        <v>#DIV/0!</v>
      </c>
      <c r="W44" s="3539"/>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6"/>
      <c r="M45" s="2016"/>
      <c r="N45" s="2016"/>
      <c r="O45" s="2027"/>
      <c r="P45" s="3536" t="str">
        <f>A45</f>
        <v>估价对象XX用房的比较价格（楼面单价，元/平方米）</v>
      </c>
      <c r="Q45" s="3537"/>
      <c r="R45" s="3545" t="e">
        <f>ROUND(IF(D44="简单平均",AVERAGE(R44:W44),R44*F44+T44*H44+V44*J44),0)</f>
        <v>#DIV/0!</v>
      </c>
      <c r="S45" s="3545"/>
      <c r="T45" s="3545"/>
      <c r="U45" s="3545"/>
      <c r="V45" s="3545"/>
      <c r="W45" s="3545"/>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40" t="s">
        <v>2272</v>
      </c>
      <c r="H52" s="3541"/>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23553.4</v>
      </c>
      <c r="F53" s="1864" t="e">
        <f t="shared" ref="F53:F62" si="15">ROUND(B53*E53/10000,0)</f>
        <v>#DIV/0!</v>
      </c>
      <c r="G53" s="3542"/>
      <c r="H53" s="3543"/>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44" t="s">
        <v>2273</v>
      </c>
      <c r="H54" s="1868">
        <f>项目基本情况!B43</f>
        <v>0</v>
      </c>
      <c r="I54" s="1867">
        <f>SUMIF(修正!$A$45:$A$56,H54,修正!B45:B56)</f>
        <v>0</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44"/>
      <c r="H55" s="1869">
        <f>项目基本情况!B43</f>
        <v>0</v>
      </c>
      <c r="I55" s="1867">
        <f>SUMIF(修正!$A$45:$A$56,H55,修正!C45:C56)</f>
        <v>0</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44"/>
      <c r="H56" s="1869">
        <f>项目基本情况!B43</f>
        <v>0</v>
      </c>
      <c r="I56" s="1867">
        <f>SUMIF(修正!$A$45:$A$56,H56,修正!D45:D56)</f>
        <v>0</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44"/>
      <c r="H57" s="1869">
        <f>项目基本情况!B43</f>
        <v>0</v>
      </c>
      <c r="I57" s="1867">
        <f>SUMIF(修正!$A$45:$A$56,H57,修正!E45:E56)</f>
        <v>0</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23553.4</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2021-4-1</v>
      </c>
      <c r="D65" s="2516">
        <f>EDATE(C65,-3)</f>
        <v>44197</v>
      </c>
      <c r="E65" s="2516">
        <f t="shared" ref="E65:N65" si="18">EDATE(D65,-3)</f>
        <v>44105</v>
      </c>
      <c r="F65" s="2516">
        <f t="shared" si="18"/>
        <v>44013</v>
      </c>
      <c r="G65" s="2516">
        <f t="shared" si="18"/>
        <v>43922</v>
      </c>
      <c r="H65" s="2516">
        <f t="shared" si="18"/>
        <v>43831</v>
      </c>
      <c r="I65" s="2516">
        <f t="shared" si="18"/>
        <v>43739</v>
      </c>
      <c r="J65" s="2516">
        <f t="shared" si="18"/>
        <v>43647</v>
      </c>
      <c r="K65" s="2516">
        <f t="shared" si="18"/>
        <v>43556</v>
      </c>
      <c r="L65" s="2516">
        <f t="shared" si="18"/>
        <v>43466</v>
      </c>
      <c r="M65" s="2516">
        <f t="shared" si="18"/>
        <v>43374</v>
      </c>
      <c r="N65" s="2516">
        <f t="shared" si="18"/>
        <v>43282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北京市平均增长率1.25%</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2" t="s">
        <v>2741</v>
      </c>
      <c r="S1" s="2652" t="s">
        <v>2742</v>
      </c>
      <c r="T1" s="2652" t="s">
        <v>2763</v>
      </c>
      <c r="U1" s="2652" t="s">
        <v>2764</v>
      </c>
      <c r="V1" s="2652" t="s">
        <v>2765</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9"/>
      <c r="L2" s="1799" t="s">
        <v>2228</v>
      </c>
      <c r="M2" s="1800">
        <f>SUMPRODUCT((区片价!B10:B28=I2)*(区片价!C3:F3=E2)*(区片价!C10:F28))</f>
        <v>0</v>
      </c>
      <c r="N2" s="1801">
        <f>SUMPRODUCT((因素修正幅度!B10:B28=I2)*(因素修正幅度!C3:F3=E2)*(因素修正幅度!C10:F28))</f>
        <v>0</v>
      </c>
      <c r="O2" s="3229"/>
      <c r="P2" s="2070"/>
      <c r="Q2" s="2070"/>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4</v>
      </c>
      <c r="H3" s="1362" t="s">
        <v>920</v>
      </c>
      <c r="I3" s="1026">
        <v>8</v>
      </c>
      <c r="J3" s="1358" t="s">
        <v>921</v>
      </c>
      <c r="K3" s="3229"/>
      <c r="L3" s="1799" t="s">
        <v>2229</v>
      </c>
      <c r="M3" s="1800">
        <f>SUMPRODUCT((区片价!B29:B48=I2)*(区片价!C3:F3=E2)*(区片价!C29:F48))</f>
        <v>0</v>
      </c>
      <c r="N3" s="1801">
        <f>SUMPRODUCT((因素修正幅度!B29:B48=I2)*(因素修正幅度!C3:F3=E2)*(因素修正幅度!C29:F48))</f>
        <v>0</v>
      </c>
      <c r="O3" s="3229"/>
      <c r="P3" s="2070"/>
      <c r="Q3" s="2070"/>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0"/>
      <c r="L4" s="1799" t="s">
        <v>2230</v>
      </c>
      <c r="M4" s="1800">
        <f>SUMPRODUCT((区片价!B49:B75=I2)*(区片价!C3:F3=E2)*(区片价!C49:F75))</f>
        <v>0</v>
      </c>
      <c r="N4" s="1801">
        <f>SUMPRODUCT((因素修正幅度!B49:B75=I2)*(因素修正幅度!C3:F3=E2)*(因素修正幅度!C49:F75))</f>
        <v>0</v>
      </c>
      <c r="O4" s="3230"/>
      <c r="P4" s="2070"/>
      <c r="Q4" s="2070"/>
      <c r="R4" s="2653">
        <v>3</v>
      </c>
      <c r="S4" s="2653">
        <f>ROUND(IF(G3&gt;1,IF(R4&lt;7,SUMPRODUCT((B93:B98=R4)*(C92:N92=G2)*(C93:N98)),SUMIF(C92:N92,G2,C100:N100)),IF(R4&lt;7,SUMPRODUCT((B102:B107=R4)*(C92:N92=G2)*(C102:N107)),SUMIF(C92:N92,G2,C109:N109))),4)</f>
        <v>0</v>
      </c>
      <c r="T4" s="2653" t="e">
        <f t="shared" si="0"/>
        <v>#DIV/0!</v>
      </c>
      <c r="U4" s="2642"/>
      <c r="V4" s="2653"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1" t="e">
        <f>ROUND(C6+C16,0)</f>
        <v>#DIV/0!</v>
      </c>
      <c r="E5" s="2791"/>
      <c r="F5" s="1364"/>
      <c r="G5" s="1365"/>
      <c r="H5" s="1365"/>
      <c r="I5" s="1365"/>
      <c r="J5" s="1366"/>
      <c r="K5" s="3231"/>
      <c r="L5" s="1799" t="s">
        <v>2231</v>
      </c>
      <c r="M5" s="1800">
        <f>SUMPRODUCT((区片价!B76:B109=I2)*(区片价!C3:F3=E2)*(区片价!C76:F109))</f>
        <v>0</v>
      </c>
      <c r="N5" s="1801">
        <f>SUMPRODUCT((因素修正幅度!B76:B109=I2)*(因素修正幅度!C3:F3=E2)*(因素修正幅度!C76:F109))</f>
        <v>0</v>
      </c>
      <c r="O5" s="3231"/>
      <c r="P5" s="3234"/>
      <c r="Q5" s="2070"/>
      <c r="R5" s="2653">
        <v>4</v>
      </c>
      <c r="S5" s="2653">
        <f>ROUND(IF(G3&gt;1,IF(R5&lt;7,SUMPRODUCT((B93:B98=R5)*(C92:N92=G2)*(C93:N98)),SUMIF(C92:N92,G2,C100:N100)),IF(R5&lt;7,SUMPRODUCT((B102:B107=R5)*(C92:N92=G2)*(C102:N107)),SUMIF(C92:N92,G2,C109:N109))),4)</f>
        <v>0</v>
      </c>
      <c r="T5" s="2653" t="e">
        <f t="shared" si="0"/>
        <v>#DIV/0!</v>
      </c>
      <c r="U5" s="2642"/>
      <c r="V5" s="2653"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2"/>
      <c r="L6" s="1799" t="s">
        <v>2232</v>
      </c>
      <c r="M6" s="1800">
        <f>SUMPRODUCT((区片价!B110:B157=I2)*(区片价!C3:F3=E2)*(区片价!C110:F157))</f>
        <v>0</v>
      </c>
      <c r="N6" s="1801">
        <f>SUMPRODUCT((因素修正幅度!B110:B157=I2)*(因素修正幅度!C3:F3=E2)*(因素修正幅度!C110:F157))</f>
        <v>0</v>
      </c>
      <c r="O6" s="3232"/>
      <c r="P6" s="3235"/>
      <c r="Q6" s="2070"/>
      <c r="R6" s="2653">
        <v>5</v>
      </c>
      <c r="S6" s="2653">
        <f>ROUND(IF(G3&gt;1,IF(R6&lt;7,SUMPRODUCT((B93:B98=R6)*(C92:N92=G2)*(C93:N98)),SUMIF(C92:N92,G2,C100:N100)),IF(R6&lt;7,SUMPRODUCT((B102:B107=R6)*(C92:N92=G2)*(C102:N107)),SUMIF(C92:N92,G2,C109:N109))),4)</f>
        <v>0</v>
      </c>
      <c r="T6" s="2653" t="e">
        <f t="shared" si="0"/>
        <v>#DIV/0!</v>
      </c>
      <c r="U6" s="2642"/>
      <c r="V6" s="2653" t="e">
        <f t="shared" si="1"/>
        <v>#DIV/0!</v>
      </c>
      <c r="W6" s="2070"/>
      <c r="X6" s="2070"/>
      <c r="Y6" s="2070"/>
      <c r="Z6" s="2070"/>
      <c r="AA6" s="2070"/>
      <c r="AB6" s="2070"/>
      <c r="AC6" s="2072"/>
      <c r="AD6" s="1367"/>
      <c r="AE6" s="1367"/>
      <c r="AF6" s="1367"/>
      <c r="AG6" s="1367"/>
      <c r="AH6" s="1367"/>
      <c r="AI6" s="1367"/>
      <c r="AJ6" s="1368"/>
    </row>
    <row r="7" spans="1:39" ht="24">
      <c r="A7" s="3553" t="str">
        <f>IF(E2="商业",IF(C8="不临58条商业街","",2),"")</f>
        <v/>
      </c>
      <c r="B7" s="1375" t="s">
        <v>923</v>
      </c>
      <c r="C7" s="1029" t="e">
        <f>IF(C8="不临58条商业街",1,ROUND(1+(1.6*E8+1.2*E9+0.8*E10+0.4*E11)*C9,4))</f>
        <v>#DIV/0!</v>
      </c>
      <c r="D7" s="1376" t="s">
        <v>924</v>
      </c>
      <c r="E7" s="1030"/>
      <c r="F7" s="1377"/>
      <c r="G7" s="1378"/>
      <c r="H7" s="1378"/>
      <c r="I7" s="1378"/>
      <c r="J7" s="1379"/>
      <c r="K7" s="3232"/>
      <c r="L7" s="1799" t="s">
        <v>2233</v>
      </c>
      <c r="M7" s="1800">
        <f>SUMPRODUCT((区片价!B158:B205=I2)*(区片价!C3:F3=E2)*(区片价!C158:F205))</f>
        <v>0</v>
      </c>
      <c r="N7" s="1801">
        <f>SUMPRODUCT((因素修正幅度!B158:B205=I2)*(因素修正幅度!C3:F3=E2)*(因素修正幅度!C158:F205))</f>
        <v>0</v>
      </c>
      <c r="O7" s="3232"/>
      <c r="P7" s="3235"/>
      <c r="Q7" s="2070"/>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4</v>
      </c>
      <c r="AA7" s="2073"/>
      <c r="AB7" s="2073"/>
      <c r="AC7" s="2074"/>
      <c r="AD7" s="2645"/>
      <c r="AE7" s="2645"/>
      <c r="AF7" s="2645"/>
      <c r="AG7" s="2645"/>
      <c r="AH7" s="2645"/>
      <c r="AI7" s="2645"/>
      <c r="AJ7" s="2646"/>
    </row>
    <row r="8" spans="1:39" ht="15">
      <c r="A8" s="3554"/>
      <c r="B8" s="1362" t="s">
        <v>925</v>
      </c>
      <c r="C8" s="1468"/>
      <c r="D8" s="1031" t="s">
        <v>926</v>
      </c>
      <c r="E8" s="1032" t="e">
        <f>ROUND(C11/E7,4)</f>
        <v>#DIV/0!</v>
      </c>
      <c r="F8" s="1380" t="s">
        <v>927</v>
      </c>
      <c r="G8" s="1381"/>
      <c r="H8" s="1381"/>
      <c r="I8" s="1381"/>
      <c r="J8" s="1382"/>
      <c r="K8" s="3232"/>
      <c r="L8" s="1799" t="s">
        <v>2234</v>
      </c>
      <c r="M8" s="1800">
        <f>SUMPRODUCT((区片价!B206:B244=I2)*(区片价!C3:F3=E2)*(区片价!C206:F244))</f>
        <v>0</v>
      </c>
      <c r="N8" s="1801">
        <f>SUMPRODUCT((因素修正幅度!B206:B244=I2)*(因素修正幅度!C3:F3=E2)*(因素修正幅度!C206:F244))</f>
        <v>0</v>
      </c>
      <c r="O8" s="3232"/>
      <c r="P8" s="2070"/>
      <c r="Q8" s="2070"/>
      <c r="R8" s="2653">
        <v>7</v>
      </c>
      <c r="S8" s="2642"/>
      <c r="T8" s="2653" t="e">
        <f t="shared" si="0"/>
        <v>#DIV/0!</v>
      </c>
      <c r="U8" s="2642"/>
      <c r="V8" s="2653" t="e">
        <f t="shared" si="1"/>
        <v>#DIV/0!</v>
      </c>
      <c r="W8" s="3564" t="s">
        <v>2762</v>
      </c>
      <c r="X8" s="3565"/>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54"/>
      <c r="B9" s="1362" t="s">
        <v>928</v>
      </c>
      <c r="C9" s="1033">
        <f>SUMIF(修正!C59:C119,C8,修正!E59:E119)</f>
        <v>0</v>
      </c>
      <c r="D9" s="1034" t="s">
        <v>929</v>
      </c>
      <c r="E9" s="1034" t="e">
        <f>ROUND(C11/E7,4)</f>
        <v>#DIV/0!</v>
      </c>
      <c r="F9" s="1380" t="s">
        <v>930</v>
      </c>
      <c r="G9" s="1381"/>
      <c r="H9" s="1381"/>
      <c r="I9" s="1381"/>
      <c r="J9" s="1382"/>
      <c r="K9" s="3232"/>
      <c r="L9" s="1799" t="s">
        <v>2235</v>
      </c>
      <c r="M9" s="1800">
        <f>SUMPRODUCT((区片价!B245:B289=I2)*(区片价!C3:F3=E2)*(区片价!C245:F289))</f>
        <v>0</v>
      </c>
      <c r="N9" s="1801">
        <f>SUMPRODUCT((因素修正幅度!B245:B289=I2)*(因素修正幅度!C3:F3=E2)*(因素修正幅度!C245:F289))</f>
        <v>0</v>
      </c>
      <c r="O9" s="3232"/>
      <c r="P9" s="2070"/>
      <c r="Q9" s="2070"/>
      <c r="R9" s="2653">
        <v>8</v>
      </c>
      <c r="S9" s="2642"/>
      <c r="T9" s="2653" t="e">
        <f t="shared" si="0"/>
        <v>#DIV/0!</v>
      </c>
      <c r="U9" s="2642"/>
      <c r="V9" s="2653" t="e">
        <f t="shared" si="1"/>
        <v>#DIV/0!</v>
      </c>
      <c r="W9" s="3563" t="s">
        <v>2758</v>
      </c>
      <c r="X9" s="2647" t="s">
        <v>2759</v>
      </c>
      <c r="Y9" s="2784"/>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54"/>
      <c r="B10" s="1362" t="s">
        <v>931</v>
      </c>
      <c r="C10" s="1034">
        <f>SUMIF(修正!C59:C119,C8,修正!F59:F119)</f>
        <v>0</v>
      </c>
      <c r="D10" s="1034" t="s">
        <v>932</v>
      </c>
      <c r="E10" s="1034" t="e">
        <f>ROUND(C11/E7,4)</f>
        <v>#DIV/0!</v>
      </c>
      <c r="F10" s="1380" t="s">
        <v>933</v>
      </c>
      <c r="G10" s="1381"/>
      <c r="H10" s="1381"/>
      <c r="I10" s="1381"/>
      <c r="J10" s="1382"/>
      <c r="K10" s="3232"/>
      <c r="L10" s="1799" t="s">
        <v>2236</v>
      </c>
      <c r="M10" s="1800">
        <f>SUMPRODUCT((区片价!B290:B316=I2)*(区片价!C3:F3=E2)*(区片价!C290:F316))</f>
        <v>0</v>
      </c>
      <c r="N10" s="1801">
        <f>SUMPRODUCT((因素修正幅度!B290:B316=I2)*(因素修正幅度!C3:F3=E2)*(因素修正幅度!C290:F316))</f>
        <v>0</v>
      </c>
      <c r="O10" s="3232"/>
      <c r="P10" s="2070"/>
      <c r="Q10" s="2070"/>
      <c r="R10" s="2653">
        <v>9</v>
      </c>
      <c r="S10" s="2642"/>
      <c r="T10" s="2653" t="e">
        <f t="shared" si="0"/>
        <v>#DIV/0!</v>
      </c>
      <c r="U10" s="2642"/>
      <c r="V10" s="2653" t="e">
        <f t="shared" si="1"/>
        <v>#DIV/0!</v>
      </c>
      <c r="W10" s="3563"/>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54"/>
      <c r="B11" s="1383" t="s">
        <v>934</v>
      </c>
      <c r="C11" s="1035">
        <f>C10/4</f>
        <v>0</v>
      </c>
      <c r="D11" s="1035" t="s">
        <v>935</v>
      </c>
      <c r="E11" s="1035" t="e">
        <f>ROUND(C11/E7,4)</f>
        <v>#DIV/0!</v>
      </c>
      <c r="F11" s="1384" t="s">
        <v>936</v>
      </c>
      <c r="G11" s="1385"/>
      <c r="H11" s="1385"/>
      <c r="I11" s="1385"/>
      <c r="J11" s="1386"/>
      <c r="K11" s="3232"/>
      <c r="L11" s="1799" t="s">
        <v>2237</v>
      </c>
      <c r="M11" s="1800">
        <f>SUMPRODUCT((区片价!B317:B337=I2)*(区片价!C3:F3=E2)*(区片价!C317:F337))</f>
        <v>0</v>
      </c>
      <c r="N11" s="1801">
        <f>SUMPRODUCT((因素修正幅度!B317:B337=I2)*(因素修正幅度!C3:F3=E2)*(因素修正幅度!C317:F337))</f>
        <v>0</v>
      </c>
      <c r="O11" s="3232"/>
      <c r="P11" s="2070"/>
      <c r="Q11" s="2070"/>
      <c r="R11" s="2653">
        <v>10</v>
      </c>
      <c r="S11" s="2642"/>
      <c r="T11" s="2653" t="e">
        <f t="shared" si="0"/>
        <v>#DIV/0!</v>
      </c>
      <c r="U11" s="2642"/>
      <c r="V11" s="2653" t="e">
        <f t="shared" si="1"/>
        <v>#DIV/0!</v>
      </c>
      <c r="W11" s="3563" t="s">
        <v>2760</v>
      </c>
      <c r="X11" s="1034" t="s">
        <v>2745</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53" t="s">
        <v>1862</v>
      </c>
      <c r="B12" s="1387" t="s">
        <v>937</v>
      </c>
      <c r="C12" s="1029">
        <f>ROUND(C15*D15*E15*F15*G15*H15*I15*J15,4)</f>
        <v>1</v>
      </c>
      <c r="D12" s="1388" t="s">
        <v>938</v>
      </c>
      <c r="E12" s="1389"/>
      <c r="F12" s="1389"/>
      <c r="G12" s="1390"/>
      <c r="H12" s="1390"/>
      <c r="I12" s="1390"/>
      <c r="J12" s="1391"/>
      <c r="K12" s="3232"/>
      <c r="L12" s="1802" t="s">
        <v>2238</v>
      </c>
      <c r="M12" s="1803">
        <f>SUMPRODUCT((区片价!B338:B344=I2)*(区片价!C3:F3=E2)*(区片价!C338:F344))</f>
        <v>0</v>
      </c>
      <c r="N12" s="1804">
        <f>SUMPRODUCT((因素修正幅度!B338:B344=I2)*(因素修正幅度!C3:F3=E2)*(因素修正幅度!C338:F344))</f>
        <v>0</v>
      </c>
      <c r="O12" s="3232"/>
      <c r="P12" s="2070"/>
      <c r="Q12" s="2070"/>
      <c r="R12" s="2653">
        <v>11</v>
      </c>
      <c r="S12" s="2642"/>
      <c r="T12" s="2653" t="e">
        <f t="shared" si="0"/>
        <v>#DIV/0!</v>
      </c>
      <c r="U12" s="2642"/>
      <c r="V12" s="2653" t="e">
        <f t="shared" si="1"/>
        <v>#DIV/0!</v>
      </c>
      <c r="W12" s="3563"/>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55"/>
      <c r="B13" s="1392" t="s">
        <v>1687</v>
      </c>
      <c r="C13" s="1393" t="s">
        <v>1688</v>
      </c>
      <c r="D13" s="1071" t="s">
        <v>1689</v>
      </c>
      <c r="E13" s="1071" t="s">
        <v>1690</v>
      </c>
      <c r="F13" s="1394" t="s">
        <v>939</v>
      </c>
      <c r="G13" s="1395" t="s">
        <v>1633</v>
      </c>
      <c r="H13" s="1396" t="s">
        <v>1633</v>
      </c>
      <c r="I13" s="1397" t="s">
        <v>1633</v>
      </c>
      <c r="J13" s="1398" t="s">
        <v>1633</v>
      </c>
      <c r="K13" s="2841"/>
      <c r="L13" s="2841"/>
      <c r="M13" s="2841"/>
      <c r="N13" s="2841"/>
      <c r="O13" s="2841"/>
      <c r="P13" s="2070"/>
      <c r="Q13" s="2070"/>
      <c r="R13" s="2653">
        <v>12</v>
      </c>
      <c r="S13" s="2642"/>
      <c r="T13" s="2653" t="e">
        <f t="shared" si="0"/>
        <v>#DIV/0!</v>
      </c>
      <c r="U13" s="2642"/>
      <c r="V13" s="2653" t="e">
        <f t="shared" si="1"/>
        <v>#DIV/0!</v>
      </c>
      <c r="W13" s="3563"/>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55"/>
      <c r="B14" s="1399"/>
      <c r="C14" s="1400"/>
      <c r="D14" s="1401"/>
      <c r="E14" s="1401"/>
      <c r="F14" s="1402"/>
      <c r="G14" s="1403" t="s">
        <v>940</v>
      </c>
      <c r="H14" s="1404"/>
      <c r="I14" s="1405"/>
      <c r="J14" s="1406"/>
      <c r="K14" s="3233"/>
      <c r="L14" s="3233"/>
      <c r="M14" s="3233"/>
      <c r="N14" s="3233"/>
      <c r="O14" s="3233"/>
      <c r="P14" s="2070"/>
      <c r="Q14" s="2070"/>
      <c r="R14" s="2653">
        <v>13</v>
      </c>
      <c r="S14" s="2642"/>
      <c r="T14" s="2653" t="e">
        <f t="shared" si="0"/>
        <v>#DIV/0!</v>
      </c>
      <c r="U14" s="2642"/>
      <c r="V14" s="2653" t="e">
        <f t="shared" si="1"/>
        <v>#DIV/0!</v>
      </c>
      <c r="W14" s="2070"/>
      <c r="X14" s="2070"/>
      <c r="Y14" s="2070"/>
      <c r="Z14" s="2070"/>
      <c r="AA14" s="2070"/>
      <c r="AB14" s="2070"/>
      <c r="AC14" s="2071"/>
    </row>
    <row r="15" spans="1:39" ht="13.5" customHeight="1" thickBot="1">
      <c r="A15" s="3556"/>
      <c r="B15" s="2846" t="s">
        <v>1691</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70"/>
      <c r="Q15" s="2070"/>
      <c r="R15" s="2653">
        <v>14</v>
      </c>
      <c r="S15" s="2642"/>
      <c r="T15" s="2653" t="e">
        <f t="shared" si="0"/>
        <v>#DIV/0!</v>
      </c>
      <c r="U15" s="2642"/>
      <c r="V15" s="2653" t="e">
        <f t="shared" si="1"/>
        <v>#DIV/0!</v>
      </c>
      <c r="W15" s="2070"/>
      <c r="X15" s="2070"/>
      <c r="Y15" s="2070"/>
      <c r="Z15" s="2070"/>
      <c r="AA15" s="2070"/>
      <c r="AB15" s="2070"/>
      <c r="AC15" s="2071"/>
    </row>
    <row r="16" spans="1:39" ht="24.6" customHeight="1">
      <c r="A16" s="3553" t="s">
        <v>1829</v>
      </c>
      <c r="B16" s="1375" t="s">
        <v>941</v>
      </c>
      <c r="C16" s="1038" t="e">
        <f>ROUND(IF(F17="与级别开发程度一致",0,(G17-E17)/C17),0)</f>
        <v>#DIV/0!</v>
      </c>
      <c r="D16" s="3571" t="s">
        <v>945</v>
      </c>
      <c r="E16" s="3572"/>
      <c r="F16" s="3571" t="s">
        <v>942</v>
      </c>
      <c r="G16" s="3572"/>
      <c r="H16" s="1407"/>
      <c r="I16" s="1407"/>
      <c r="J16" s="1407"/>
      <c r="K16" s="1407"/>
      <c r="L16" s="1407"/>
      <c r="M16" s="1407"/>
      <c r="N16" s="1407"/>
      <c r="O16" s="2851"/>
      <c r="P16" s="2070"/>
      <c r="Q16" s="2073"/>
      <c r="R16" s="2653">
        <v>15</v>
      </c>
      <c r="S16" s="2642"/>
      <c r="T16" s="2653" t="e">
        <f t="shared" si="0"/>
        <v>#DIV/0!</v>
      </c>
      <c r="U16" s="2642"/>
      <c r="V16" s="2653" t="e">
        <f t="shared" si="1"/>
        <v>#DIV/0!</v>
      </c>
      <c r="W16" s="2073"/>
      <c r="X16" s="2073"/>
      <c r="Y16" s="2073"/>
      <c r="Z16" s="2073"/>
      <c r="AA16" s="2073"/>
      <c r="AB16" s="2073"/>
      <c r="AC16" s="2074"/>
    </row>
    <row r="17" spans="1:40" ht="13.5" thickBot="1">
      <c r="A17" s="3557"/>
      <c r="B17" s="2852" t="s">
        <v>944</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7" t="s">
        <v>946</v>
      </c>
      <c r="C18" s="2848">
        <f>SUMIF(修正!C18:C39,E3,修正!E18:E39)</f>
        <v>0</v>
      </c>
      <c r="D18" s="2849"/>
      <c r="E18" s="2850"/>
      <c r="F18" s="2833"/>
      <c r="G18" s="2832"/>
      <c r="H18" s="2832"/>
      <c r="I18" s="2832"/>
      <c r="J18" s="2840"/>
      <c r="K18" s="3231"/>
      <c r="L18" s="2832"/>
      <c r="M18" s="2832"/>
      <c r="N18" s="2832"/>
      <c r="O18" s="2832"/>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ROUND(IF(H19="按公示增长率计算",SUMPRODUCT((地价!A3:A34=YEAR(G19)&amp;"-"&amp;ROUNDUP(MONTH(G19)/3,0))*(地价!X2:AB2=E2)*(地价!X3:AB34)),IF(H19="地价指数",M20/M19,(1+I19)^O19)),4)</f>
        <v>0</v>
      </c>
      <c r="D19" s="1414" t="s">
        <v>948</v>
      </c>
      <c r="E19" s="1040">
        <v>41640</v>
      </c>
      <c r="F19" s="1414" t="s">
        <v>949</v>
      </c>
      <c r="G19" s="1041">
        <f>'数据-取费表'!B2</f>
        <v>44315</v>
      </c>
      <c r="H19" s="1415" t="s">
        <v>2951</v>
      </c>
      <c r="I19" s="2503" t="str">
        <f>IF(H19="季度增幅（自定义）",SUMIF(N21:N24,E2,O21:O24),"")</f>
        <v/>
      </c>
      <c r="J19" s="1411"/>
      <c r="K19" s="3231"/>
      <c r="L19" s="2751" t="s">
        <v>2820</v>
      </c>
      <c r="M19" s="2752">
        <f>ROUND(SUMIF(地价!B2:F2,E2,地价!B34:F34),0)</f>
        <v>0</v>
      </c>
      <c r="N19" s="2505" t="s">
        <v>1667</v>
      </c>
      <c r="O19" s="2504">
        <f>ROUNDDOWN(DATEDIF(E19,G19,"M")/3,0)</f>
        <v>29</v>
      </c>
      <c r="P19" s="2074"/>
      <c r="Q19" s="2641"/>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1">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2"/>
      <c r="L20" s="2753" t="s">
        <v>2821</v>
      </c>
      <c r="M20" s="2835">
        <f>ROUND(SUMPRODUCT((地价!A4:A34=YEAR(G19)&amp;"-"&amp;ROUNDUP(MONTH(G19)/3,0))*(地价!B2:F2=E2)*(地价!B4:F34)),0)</f>
        <v>0</v>
      </c>
      <c r="N20" s="2508" t="s">
        <v>2625</v>
      </c>
      <c r="O20" s="2506" t="s">
        <v>2624</v>
      </c>
      <c r="P20" s="2507" t="s">
        <v>2630</v>
      </c>
      <c r="Q20" s="2641"/>
      <c r="R20" s="2076"/>
      <c r="S20" s="2076"/>
      <c r="T20" s="2076"/>
      <c r="U20" s="2076"/>
      <c r="V20" s="2076"/>
      <c r="W20" s="2076"/>
      <c r="X20" s="2076"/>
      <c r="Y20" s="1412"/>
      <c r="Z20" s="1412"/>
      <c r="AA20" s="1412"/>
      <c r="AB20" s="1412"/>
      <c r="AC20" s="1412"/>
      <c r="AD20" s="1412"/>
    </row>
    <row r="21" spans="1:40" s="1369" customFormat="1" ht="14.25">
      <c r="A21" s="1570" t="s">
        <v>1828</v>
      </c>
      <c r="B21" s="1420" t="s">
        <v>2986</v>
      </c>
      <c r="C21" s="1140" t="b">
        <f>IF(B21="容积率修正",IF(G3&lt;=10,D22,J22),C23)</f>
        <v>0</v>
      </c>
      <c r="D21" s="1421"/>
      <c r="E21" s="1421"/>
      <c r="F21" s="1421"/>
      <c r="G21" s="1421"/>
      <c r="H21" s="1421"/>
      <c r="I21" s="1421"/>
      <c r="J21" s="1422"/>
      <c r="K21" s="3231"/>
      <c r="L21" s="1421"/>
      <c r="M21" s="1421"/>
      <c r="N21" s="1418" t="s">
        <v>966</v>
      </c>
      <c r="O21" s="1481"/>
      <c r="P21" s="2495">
        <f>SUMPRODUCT((地价!A3:A34=YEAR(G19)&amp;"-"&amp;ROUNDUP(MONTH(G19)/3,0))*(地价!AD2:AH2=N21)*(地价!AD3:AH34))</f>
        <v>1.09E-2</v>
      </c>
      <c r="Q21" s="2641"/>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1"/>
      <c r="M22" s="1421"/>
      <c r="N22" s="1418" t="s">
        <v>969</v>
      </c>
      <c r="O22" s="1481"/>
      <c r="P22" s="2495">
        <f>SUMPRODUCT((地价!A3:A34=YEAR(G19)&amp;"-"&amp;ROUNDUP(MONTH(G19)/3,0))*(地价!AD2:AH2=N22)*(地价!AD3:AH34))</f>
        <v>1.09E-2</v>
      </c>
      <c r="Q22" s="2641"/>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5">
        <f>SUMPRODUCT((地价!A3:A34=YEAR(G19)&amp;"-"&amp;ROUNDUP(MONTH(G19)/3,0))*(地价!AD2:AH2=N23)*(地价!AD3:AH34))</f>
        <v>1.9E-2</v>
      </c>
      <c r="Q23" s="2641"/>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38"/>
      <c r="L24" s="1421"/>
      <c r="M24" s="1421"/>
      <c r="N24" s="1418" t="s">
        <v>972</v>
      </c>
      <c r="O24" s="2834"/>
      <c r="P24" s="2495">
        <f>SUMPRODUCT((地价!A3:A34=YEAR(G19)&amp;"-"&amp;ROUNDUP(MONTH(G19)/3,0))*(地价!AD2:AH2=N24)*(地价!AD3:AH34))</f>
        <v>1.2500000000000001E-2</v>
      </c>
      <c r="Q24" s="2641"/>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2"/>
      <c r="L25" s="2076"/>
      <c r="M25" s="2076"/>
      <c r="N25" s="2836" t="s">
        <v>2628</v>
      </c>
      <c r="O25" s="2837"/>
      <c r="P25" s="2302">
        <f>SUMPRODUCT((地价!A3:A34=YEAR(G19)&amp;"-"&amp;ROUNDUP(MONTH(G19)/3,0))*(地价!AD2:AH2=N25)*(地价!AD3:AH34))</f>
        <v>1.7299999999999999E-2</v>
      </c>
      <c r="Q25" s="2641"/>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5" t="e">
        <f>IF(B21="容积率修正",E29+SUM(E33:E39),SUM(V2:V16)+SUM(E33:E39))</f>
        <v>#DIV/0!</v>
      </c>
      <c r="D26" s="1429"/>
      <c r="E26" s="1404"/>
      <c r="F26" s="1430"/>
      <c r="G26" s="1404"/>
      <c r="H26" s="1404"/>
      <c r="I26" s="1404"/>
      <c r="J26" s="1431"/>
      <c r="K26" s="3232"/>
      <c r="L26" s="1528" t="s">
        <v>889</v>
      </c>
      <c r="M26" s="1376" t="s">
        <v>974</v>
      </c>
      <c r="N26" s="1376" t="s">
        <v>975</v>
      </c>
      <c r="O26" s="1376" t="s">
        <v>893</v>
      </c>
      <c r="P26" s="1416" t="s">
        <v>976</v>
      </c>
      <c r="Q26" s="2641"/>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2"/>
      <c r="L27" s="1408" t="s">
        <v>978</v>
      </c>
      <c r="M27" s="1033">
        <v>0.25</v>
      </c>
      <c r="N27" s="1033">
        <v>0.2</v>
      </c>
      <c r="O27" s="1033">
        <v>0.15</v>
      </c>
      <c r="P27" s="1478">
        <v>0.1</v>
      </c>
      <c r="Q27" s="2076"/>
      <c r="R27" s="2641"/>
      <c r="S27" s="2641"/>
      <c r="T27" s="2641"/>
      <c r="U27" s="2641"/>
      <c r="V27" s="2641"/>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2"/>
      <c r="L28" s="1409" t="s">
        <v>964</v>
      </c>
      <c r="M28" s="1479">
        <f>ROUND($E$20*(1+M27),3)</f>
        <v>5.3999999999999999E-2</v>
      </c>
      <c r="N28" s="1479">
        <f>ROUND($E$20*(1+N27),3)</f>
        <v>5.1999999999999998E-2</v>
      </c>
      <c r="O28" s="1479">
        <f>ROUND($E$20*(1+O27),3)</f>
        <v>0.05</v>
      </c>
      <c r="P28" s="1480">
        <f>ROUND($E$20*(1+P27),3)</f>
        <v>4.8000000000000001E-2</v>
      </c>
      <c r="Q28" s="2076"/>
      <c r="R28" s="2641"/>
      <c r="S28" s="2641"/>
      <c r="T28" s="2641"/>
      <c r="U28" s="2641"/>
      <c r="V28" s="2641"/>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39"/>
      <c r="L29" s="3239"/>
      <c r="M29" s="3239"/>
      <c r="N29" s="3239"/>
      <c r="O29" s="3239"/>
      <c r="P29" s="2070"/>
      <c r="Q29" s="2076"/>
      <c r="R29" s="2076"/>
      <c r="S29" s="2076"/>
      <c r="T29" s="2076"/>
      <c r="U29" s="2076"/>
      <c r="V29" s="2076"/>
      <c r="W29" s="2641"/>
      <c r="X29" s="2641"/>
      <c r="Y29" s="2641"/>
      <c r="Z29" s="2641"/>
      <c r="AA29" s="2641"/>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60"/>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60" t="s">
        <v>2990</v>
      </c>
      <c r="K33" s="2841"/>
      <c r="L33" s="2841"/>
      <c r="M33" s="2841"/>
      <c r="N33" s="2841"/>
      <c r="O33" s="2841"/>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61"/>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61"/>
      <c r="K34" s="2841"/>
      <c r="L34" s="2841"/>
      <c r="M34" s="2841"/>
      <c r="N34" s="2841"/>
      <c r="O34" s="2841"/>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61"/>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61"/>
      <c r="K35" s="2841"/>
      <c r="L35" s="2841"/>
      <c r="M35" s="2841"/>
      <c r="N35" s="2841"/>
      <c r="O35" s="2841"/>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62"/>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62"/>
      <c r="K36" s="2841"/>
      <c r="L36" s="2841"/>
      <c r="M36" s="2841"/>
      <c r="N36" s="2841"/>
      <c r="O36" s="2841"/>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1" t="s">
        <v>2945</v>
      </c>
      <c r="C41" s="828" t="e">
        <f>ROUND(POWER(1+E41,H41-G41)*(POWER(1+E41,G41)-1)/(POWER(1+E41,H41)-1),4)</f>
        <v>#DIV/0!</v>
      </c>
      <c r="D41" s="372" t="s">
        <v>2943</v>
      </c>
      <c r="E41" s="2830">
        <f>G20</f>
        <v>0</v>
      </c>
      <c r="F41" s="372" t="s">
        <v>2944</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1012</v>
      </c>
      <c r="B48" s="2263" t="str">
        <f>估价对象房地状况!C18</f>
        <v>较差</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t="str">
        <f>估价对象房地状况!C19</f>
        <v>较好</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3" t="s">
        <v>2901</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2" t="s">
        <v>2900</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1012</v>
      </c>
      <c r="B59" s="2263" t="str">
        <f>估价对象房地状况!C18</f>
        <v>较差</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t="str">
        <f>估价对象房地状况!C19</f>
        <v>较好</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3" t="s">
        <v>2902</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2" t="s">
        <v>2900</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1023</v>
      </c>
      <c r="B69" s="2266" t="str">
        <f>估价对象房地状况!C15</f>
        <v>较好</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1024</v>
      </c>
      <c r="B70" s="2263" t="str">
        <f>估价对象房地状况!C18</f>
        <v>较差</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t="str">
        <f>估价对象房地状况!C19</f>
        <v>较好</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2" t="s">
        <v>2900</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2" t="s">
        <v>2900</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8" t="s">
        <v>1624</v>
      </c>
      <c r="B90" s="3558"/>
      <c r="C90" s="3558"/>
      <c r="D90" s="3558"/>
      <c r="E90" s="3558"/>
      <c r="F90" s="3558"/>
      <c r="G90" s="3558"/>
      <c r="H90" s="3558"/>
      <c r="I90" s="3558"/>
      <c r="J90" s="3558"/>
      <c r="K90" s="2305"/>
      <c r="L90" s="2305"/>
      <c r="M90" s="2305"/>
      <c r="N90" s="2305"/>
    </row>
    <row r="91" spans="1:40">
      <c r="A91" s="3559" t="s">
        <v>1434</v>
      </c>
      <c r="B91" s="3559" t="s">
        <v>1625</v>
      </c>
      <c r="C91" s="1122" t="s">
        <v>1626</v>
      </c>
      <c r="D91" s="1123"/>
      <c r="E91" s="1123"/>
      <c r="F91" s="1123"/>
      <c r="G91" s="1123"/>
      <c r="H91" s="1123"/>
      <c r="I91" s="1123"/>
      <c r="J91" s="1124"/>
      <c r="K91" s="1116"/>
      <c r="L91" s="1116"/>
      <c r="M91" s="1116"/>
      <c r="N91" s="1116"/>
    </row>
    <row r="92" spans="1:40">
      <c r="A92" s="3559"/>
      <c r="B92" s="355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6"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7"/>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7"/>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7"/>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7"/>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7"/>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7"/>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68"/>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66"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67"/>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67"/>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67"/>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67"/>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67"/>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67"/>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67"/>
      <c r="B108" s="3569"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68"/>
      <c r="B109" s="3570"/>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52" t="s">
        <v>1630</v>
      </c>
      <c r="B110" s="3552"/>
      <c r="C110" s="3552"/>
      <c r="D110" s="3552"/>
      <c r="E110" s="3552"/>
      <c r="F110" s="3552"/>
      <c r="G110" s="3552"/>
      <c r="H110" s="3552"/>
      <c r="I110" s="3552"/>
      <c r="J110" s="3552"/>
      <c r="K110" s="2303"/>
      <c r="L110" s="2303"/>
      <c r="M110" s="2303"/>
      <c r="N110" s="2303"/>
    </row>
    <row r="112" spans="1:14" ht="12.75" thickBot="1"/>
    <row r="113" spans="1:13" ht="25.5" thickBot="1">
      <c r="A113" s="1002" t="s">
        <v>887</v>
      </c>
      <c r="B113" s="2306">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2948</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59" t="s">
        <v>998</v>
      </c>
      <c r="B18" s="1136" t="s">
        <v>1437</v>
      </c>
      <c r="C18" s="1113" t="s">
        <v>1438</v>
      </c>
      <c r="D18" s="1114"/>
      <c r="E18" s="1136">
        <v>1</v>
      </c>
      <c r="F18" s="1115" t="s">
        <v>1439</v>
      </c>
      <c r="G18" s="1116"/>
      <c r="H18" s="1087"/>
      <c r="I18" s="1087"/>
    </row>
    <row r="19" spans="1:9" s="1529" customFormat="1" ht="19.5" customHeight="1">
      <c r="A19" s="3559"/>
      <c r="B19" s="3559" t="s">
        <v>1440</v>
      </c>
      <c r="C19" s="1113" t="s">
        <v>1441</v>
      </c>
      <c r="D19" s="1114"/>
      <c r="E19" s="1136">
        <v>0.9</v>
      </c>
      <c r="F19" s="1115" t="s">
        <v>1442</v>
      </c>
      <c r="G19" s="1116"/>
      <c r="H19" s="1087"/>
      <c r="I19" s="1087"/>
    </row>
    <row r="20" spans="1:9" s="1529" customFormat="1" ht="19.5" customHeight="1">
      <c r="A20" s="3559"/>
      <c r="B20" s="3559"/>
      <c r="C20" s="1113" t="s">
        <v>1443</v>
      </c>
      <c r="D20" s="1114"/>
      <c r="E20" s="1136">
        <v>1.1000000000000001</v>
      </c>
      <c r="F20" s="1115" t="s">
        <v>1444</v>
      </c>
      <c r="G20" s="1116"/>
      <c r="H20" s="1087"/>
      <c r="I20" s="1087"/>
    </row>
    <row r="21" spans="1:9" s="1529" customFormat="1" ht="19.5" customHeight="1">
      <c r="A21" s="3559"/>
      <c r="B21" s="3559"/>
      <c r="C21" s="1113" t="s">
        <v>1445</v>
      </c>
      <c r="D21" s="1114"/>
      <c r="E21" s="1136">
        <v>0.8</v>
      </c>
      <c r="F21" s="1115" t="s">
        <v>1446</v>
      </c>
      <c r="G21" s="1116"/>
      <c r="H21" s="1087"/>
      <c r="I21" s="1087"/>
    </row>
    <row r="22" spans="1:9" s="1529" customFormat="1" ht="19.5" customHeight="1">
      <c r="A22" s="3559"/>
      <c r="B22" s="3559"/>
      <c r="C22" s="1113" t="s">
        <v>1447</v>
      </c>
      <c r="D22" s="1114"/>
      <c r="E22" s="1136">
        <v>0.5</v>
      </c>
      <c r="F22" s="1115"/>
      <c r="G22" s="1116"/>
      <c r="H22" s="1087"/>
      <c r="I22" s="1087"/>
    </row>
    <row r="23" spans="1:9" s="1529" customFormat="1" ht="19.5" customHeight="1">
      <c r="A23" s="3559" t="s">
        <v>1020</v>
      </c>
      <c r="B23" s="1136" t="s">
        <v>1437</v>
      </c>
      <c r="C23" s="1113" t="s">
        <v>1448</v>
      </c>
      <c r="D23" s="1114"/>
      <c r="E23" s="1136">
        <v>1</v>
      </c>
      <c r="F23" s="1115" t="s">
        <v>1449</v>
      </c>
      <c r="G23" s="1116"/>
      <c r="H23" s="1087"/>
      <c r="I23" s="1087"/>
    </row>
    <row r="24" spans="1:9" s="1529" customFormat="1" ht="19.5" customHeight="1">
      <c r="A24" s="3559"/>
      <c r="B24" s="3559" t="s">
        <v>1440</v>
      </c>
      <c r="C24" s="1113" t="s">
        <v>1450</v>
      </c>
      <c r="D24" s="1114"/>
      <c r="E24" s="1136">
        <v>0.5</v>
      </c>
      <c r="F24" s="1115"/>
      <c r="G24" s="1116"/>
      <c r="H24" s="1087"/>
      <c r="I24" s="1087"/>
    </row>
    <row r="25" spans="1:9" s="1529" customFormat="1" ht="19.5" customHeight="1">
      <c r="A25" s="3559"/>
      <c r="B25" s="3559"/>
      <c r="C25" s="1113" t="s">
        <v>1451</v>
      </c>
      <c r="D25" s="1114"/>
      <c r="E25" s="1136">
        <v>1.1000000000000001</v>
      </c>
      <c r="F25" s="1115"/>
      <c r="G25" s="1116"/>
      <c r="H25" s="1087"/>
      <c r="I25" s="1087"/>
    </row>
    <row r="26" spans="1:9" s="1529" customFormat="1" ht="19.5" customHeight="1">
      <c r="A26" s="3559"/>
      <c r="B26" s="3559"/>
      <c r="C26" s="1113" t="s">
        <v>1452</v>
      </c>
      <c r="D26" s="1114"/>
      <c r="E26" s="1136">
        <v>1.1000000000000001</v>
      </c>
      <c r="F26" s="1115"/>
      <c r="G26" s="1116"/>
      <c r="H26" s="1087"/>
      <c r="I26" s="1087"/>
    </row>
    <row r="27" spans="1:9" s="1529" customFormat="1" ht="19.5" customHeight="1">
      <c r="A27" s="3559"/>
      <c r="B27" s="3559"/>
      <c r="C27" s="1113" t="s">
        <v>1453</v>
      </c>
      <c r="D27" s="1114"/>
      <c r="E27" s="1136">
        <v>0.9</v>
      </c>
      <c r="F27" s="1115" t="s">
        <v>1454</v>
      </c>
      <c r="G27" s="1116"/>
      <c r="H27" s="1087"/>
      <c r="I27" s="1087"/>
    </row>
    <row r="28" spans="1:9" s="1529" customFormat="1" ht="19.5" customHeight="1">
      <c r="A28" s="3559"/>
      <c r="B28" s="3559"/>
      <c r="C28" s="1113" t="s">
        <v>1455</v>
      </c>
      <c r="D28" s="1114"/>
      <c r="E28" s="1136">
        <v>0.9</v>
      </c>
      <c r="F28" s="1115" t="s">
        <v>1456</v>
      </c>
      <c r="G28" s="1116"/>
      <c r="H28" s="1087"/>
      <c r="I28" s="1087"/>
    </row>
    <row r="29" spans="1:9" s="1529" customFormat="1" ht="19.5" customHeight="1">
      <c r="A29" s="3559"/>
      <c r="B29" s="3559"/>
      <c r="C29" s="1113" t="s">
        <v>1457</v>
      </c>
      <c r="D29" s="1114"/>
      <c r="E29" s="1136">
        <v>0.9</v>
      </c>
      <c r="F29" s="1115" t="s">
        <v>1458</v>
      </c>
      <c r="G29" s="1116"/>
      <c r="H29" s="1087"/>
      <c r="I29" s="1087"/>
    </row>
    <row r="30" spans="1:9" s="1529" customFormat="1" ht="19.5" customHeight="1">
      <c r="A30" s="3559"/>
      <c r="B30" s="3559"/>
      <c r="C30" s="1113" t="s">
        <v>1459</v>
      </c>
      <c r="D30" s="1114"/>
      <c r="E30" s="1136">
        <v>0.9</v>
      </c>
      <c r="F30" s="1115" t="s">
        <v>1460</v>
      </c>
      <c r="G30" s="1116"/>
      <c r="H30" s="1087"/>
      <c r="I30" s="1087"/>
    </row>
    <row r="31" spans="1:9" s="1529" customFormat="1" ht="19.5" customHeight="1">
      <c r="A31" s="3559"/>
      <c r="B31" s="3559"/>
      <c r="C31" s="1113" t="s">
        <v>1461</v>
      </c>
      <c r="D31" s="1114"/>
      <c r="E31" s="1136">
        <v>0.8</v>
      </c>
      <c r="F31" s="1115" t="s">
        <v>1462</v>
      </c>
      <c r="G31" s="1116"/>
      <c r="H31" s="1087"/>
      <c r="I31" s="1087"/>
    </row>
    <row r="32" spans="1:9" s="1529" customFormat="1" ht="19.5" customHeight="1">
      <c r="A32" s="3559"/>
      <c r="B32" s="3559"/>
      <c r="C32" s="1113" t="s">
        <v>1463</v>
      </c>
      <c r="D32" s="1114"/>
      <c r="E32" s="1136">
        <v>0.8</v>
      </c>
      <c r="F32" s="1115" t="s">
        <v>1464</v>
      </c>
      <c r="G32" s="1116"/>
      <c r="H32" s="1087"/>
      <c r="I32" s="1087"/>
    </row>
    <row r="33" spans="1:9" s="1529" customFormat="1" ht="19.5" customHeight="1">
      <c r="A33" s="3559" t="s">
        <v>1465</v>
      </c>
      <c r="B33" s="1136" t="s">
        <v>1437</v>
      </c>
      <c r="C33" s="1113" t="s">
        <v>1466</v>
      </c>
      <c r="D33" s="1114"/>
      <c r="E33" s="1136">
        <v>1</v>
      </c>
      <c r="F33" s="1115" t="s">
        <v>1467</v>
      </c>
      <c r="G33" s="1116"/>
      <c r="H33" s="1087"/>
      <c r="I33" s="1087"/>
    </row>
    <row r="34" spans="1:9" s="1529" customFormat="1" ht="19.5" customHeight="1">
      <c r="A34" s="3559"/>
      <c r="B34" s="1136" t="s">
        <v>1440</v>
      </c>
      <c r="C34" s="1113" t="s">
        <v>1468</v>
      </c>
      <c r="D34" s="1114"/>
      <c r="E34" s="1136">
        <v>1.5</v>
      </c>
      <c r="F34" s="1115" t="s">
        <v>1469</v>
      </c>
      <c r="G34" s="1116"/>
      <c r="H34" s="1087"/>
      <c r="I34" s="1087"/>
    </row>
    <row r="35" spans="1:9" s="1529" customFormat="1" ht="19.5" customHeight="1">
      <c r="A35" s="3559" t="s">
        <v>1423</v>
      </c>
      <c r="B35" s="1136" t="s">
        <v>1437</v>
      </c>
      <c r="C35" s="1113" t="s">
        <v>1470</v>
      </c>
      <c r="D35" s="1114"/>
      <c r="E35" s="1136">
        <v>1</v>
      </c>
      <c r="F35" s="1115" t="s">
        <v>1471</v>
      </c>
      <c r="G35" s="1116"/>
      <c r="H35" s="1087"/>
      <c r="I35" s="1087"/>
    </row>
    <row r="36" spans="1:9" s="1529" customFormat="1" ht="19.5" customHeight="1">
      <c r="A36" s="3559"/>
      <c r="B36" s="3559" t="s">
        <v>1440</v>
      </c>
      <c r="C36" s="1113" t="s">
        <v>1472</v>
      </c>
      <c r="D36" s="1114"/>
      <c r="E36" s="1136">
        <v>1</v>
      </c>
      <c r="F36" s="1115" t="s">
        <v>1473</v>
      </c>
      <c r="G36" s="1116"/>
      <c r="H36" s="1087"/>
      <c r="I36" s="1087"/>
    </row>
    <row r="37" spans="1:9" s="1529" customFormat="1" ht="19.5" customHeight="1">
      <c r="A37" s="3559"/>
      <c r="B37" s="3559"/>
      <c r="C37" s="1113" t="s">
        <v>1474</v>
      </c>
      <c r="D37" s="1114"/>
      <c r="E37" s="1136">
        <v>1.5</v>
      </c>
      <c r="F37" s="1115" t="s">
        <v>1475</v>
      </c>
      <c r="G37" s="1116"/>
      <c r="H37" s="1087"/>
      <c r="I37" s="1087"/>
    </row>
    <row r="38" spans="1:9" s="1529" customFormat="1" ht="19.5" customHeight="1">
      <c r="A38" s="3559"/>
      <c r="B38" s="3559"/>
      <c r="C38" s="1113" t="s">
        <v>1476</v>
      </c>
      <c r="D38" s="1114"/>
      <c r="E38" s="1136">
        <v>1</v>
      </c>
      <c r="F38" s="1115" t="s">
        <v>1477</v>
      </c>
      <c r="G38" s="1116"/>
      <c r="H38" s="1087"/>
      <c r="I38" s="1087"/>
    </row>
    <row r="39" spans="1:9" s="1529" customFormat="1" ht="19.5" customHeight="1">
      <c r="A39" s="3559"/>
      <c r="B39" s="3559"/>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59" t="s">
        <v>1492</v>
      </c>
      <c r="C61" s="1050" t="s">
        <v>1493</v>
      </c>
      <c r="D61" s="1050" t="s">
        <v>1494</v>
      </c>
      <c r="E61" s="1121">
        <v>0.5</v>
      </c>
      <c r="F61" s="1136">
        <v>80</v>
      </c>
      <c r="H61" s="1087">
        <f>SUMIF(C59:C119,基准地价!C8,E59:E119)</f>
        <v>0</v>
      </c>
    </row>
    <row r="62" spans="1:8" s="1087" customFormat="1" ht="24">
      <c r="A62" s="1136">
        <v>2</v>
      </c>
      <c r="B62" s="3559"/>
      <c r="C62" s="1050" t="s">
        <v>1495</v>
      </c>
      <c r="D62" s="1050" t="s">
        <v>1496</v>
      </c>
      <c r="E62" s="1121">
        <v>0.5</v>
      </c>
      <c r="F62" s="1136">
        <v>80</v>
      </c>
    </row>
    <row r="63" spans="1:8" s="1087" customFormat="1" ht="36">
      <c r="A63" s="1136">
        <v>3</v>
      </c>
      <c r="B63" s="3559"/>
      <c r="C63" s="1050" t="s">
        <v>1497</v>
      </c>
      <c r="D63" s="1050" t="s">
        <v>1498</v>
      </c>
      <c r="E63" s="1121">
        <v>0.5</v>
      </c>
      <c r="F63" s="1136">
        <v>80</v>
      </c>
    </row>
    <row r="64" spans="1:8" s="1087" customFormat="1" ht="36">
      <c r="A64" s="1136">
        <v>4</v>
      </c>
      <c r="B64" s="3559"/>
      <c r="C64" s="1050" t="s">
        <v>1499</v>
      </c>
      <c r="D64" s="1050" t="s">
        <v>1500</v>
      </c>
      <c r="E64" s="1121">
        <v>0.4</v>
      </c>
      <c r="F64" s="1136">
        <v>60</v>
      </c>
    </row>
    <row r="65" spans="1:6" s="1087" customFormat="1" ht="36">
      <c r="A65" s="1136">
        <v>5</v>
      </c>
      <c r="B65" s="3559"/>
      <c r="C65" s="1050" t="s">
        <v>1501</v>
      </c>
      <c r="D65" s="1050" t="s">
        <v>1502</v>
      </c>
      <c r="E65" s="1121">
        <v>0.2</v>
      </c>
      <c r="F65" s="1136">
        <v>30</v>
      </c>
    </row>
    <row r="66" spans="1:6" s="1087" customFormat="1" ht="36">
      <c r="A66" s="1136">
        <v>6</v>
      </c>
      <c r="B66" s="3559"/>
      <c r="C66" s="1050" t="s">
        <v>1503</v>
      </c>
      <c r="D66" s="1050" t="s">
        <v>1504</v>
      </c>
      <c r="E66" s="1121">
        <v>0.3</v>
      </c>
      <c r="F66" s="1136">
        <v>50</v>
      </c>
    </row>
    <row r="67" spans="1:6" s="1087" customFormat="1" ht="36">
      <c r="A67" s="1136">
        <v>7</v>
      </c>
      <c r="B67" s="3559"/>
      <c r="C67" s="1050" t="s">
        <v>1505</v>
      </c>
      <c r="D67" s="1050" t="s">
        <v>1506</v>
      </c>
      <c r="E67" s="1121">
        <v>0.2</v>
      </c>
      <c r="F67" s="1136">
        <v>30</v>
      </c>
    </row>
    <row r="68" spans="1:6" s="1087" customFormat="1" ht="36">
      <c r="A68" s="1136">
        <v>8</v>
      </c>
      <c r="B68" s="3559"/>
      <c r="C68" s="1050" t="s">
        <v>1507</v>
      </c>
      <c r="D68" s="1050" t="s">
        <v>1508</v>
      </c>
      <c r="E68" s="1121">
        <v>0.2</v>
      </c>
      <c r="F68" s="1136">
        <v>30</v>
      </c>
    </row>
    <row r="69" spans="1:6" s="1087" customFormat="1" ht="36">
      <c r="A69" s="1136">
        <v>9</v>
      </c>
      <c r="B69" s="3559"/>
      <c r="C69" s="1050" t="s">
        <v>1509</v>
      </c>
      <c r="D69" s="1050" t="s">
        <v>1510</v>
      </c>
      <c r="E69" s="1121">
        <v>0.2</v>
      </c>
      <c r="F69" s="1136">
        <v>30</v>
      </c>
    </row>
    <row r="70" spans="1:6" s="1087" customFormat="1" ht="48">
      <c r="A70" s="1136">
        <v>10</v>
      </c>
      <c r="B70" s="3559"/>
      <c r="C70" s="1050" t="s">
        <v>1511</v>
      </c>
      <c r="D70" s="1050" t="s">
        <v>1512</v>
      </c>
      <c r="E70" s="1121">
        <v>0.2</v>
      </c>
      <c r="F70" s="1136">
        <v>30</v>
      </c>
    </row>
    <row r="71" spans="1:6" s="1087" customFormat="1" ht="48">
      <c r="A71" s="1136">
        <v>11</v>
      </c>
      <c r="B71" s="3559"/>
      <c r="C71" s="1050" t="s">
        <v>1513</v>
      </c>
      <c r="D71" s="1050" t="s">
        <v>1514</v>
      </c>
      <c r="E71" s="1121">
        <v>0.2</v>
      </c>
      <c r="F71" s="1136">
        <v>30</v>
      </c>
    </row>
    <row r="72" spans="1:6" s="1087" customFormat="1" ht="36">
      <c r="A72" s="1136">
        <v>12</v>
      </c>
      <c r="B72" s="3559"/>
      <c r="C72" s="1050" t="s">
        <v>1515</v>
      </c>
      <c r="D72" s="1050" t="s">
        <v>1516</v>
      </c>
      <c r="E72" s="1121">
        <v>0.5</v>
      </c>
      <c r="F72" s="1136">
        <v>80</v>
      </c>
    </row>
    <row r="73" spans="1:6" s="1087" customFormat="1" ht="24">
      <c r="A73" s="1136">
        <v>13</v>
      </c>
      <c r="B73" s="3559"/>
      <c r="C73" s="1050" t="s">
        <v>1517</v>
      </c>
      <c r="D73" s="1050" t="s">
        <v>1518</v>
      </c>
      <c r="E73" s="1121">
        <v>0.4</v>
      </c>
      <c r="F73" s="1136">
        <v>60</v>
      </c>
    </row>
    <row r="74" spans="1:6" s="1087" customFormat="1" ht="24">
      <c r="A74" s="1136">
        <v>14</v>
      </c>
      <c r="B74" s="3559"/>
      <c r="C74" s="1050" t="s">
        <v>1519</v>
      </c>
      <c r="D74" s="1050" t="s">
        <v>1520</v>
      </c>
      <c r="E74" s="1121">
        <v>0.2</v>
      </c>
      <c r="F74" s="1136">
        <v>30</v>
      </c>
    </row>
    <row r="75" spans="1:6" s="1087" customFormat="1" ht="24">
      <c r="A75" s="1136">
        <v>15</v>
      </c>
      <c r="B75" s="3559"/>
      <c r="C75" s="1050" t="s">
        <v>1521</v>
      </c>
      <c r="D75" s="1050" t="s">
        <v>1522</v>
      </c>
      <c r="E75" s="1121">
        <v>0.2</v>
      </c>
      <c r="F75" s="1136">
        <v>30</v>
      </c>
    </row>
    <row r="76" spans="1:6" s="1087" customFormat="1" ht="24">
      <c r="A76" s="1136">
        <v>16</v>
      </c>
      <c r="B76" s="3559" t="s">
        <v>1523</v>
      </c>
      <c r="C76" s="1050" t="s">
        <v>1524</v>
      </c>
      <c r="D76" s="1050" t="s">
        <v>1525</v>
      </c>
      <c r="E76" s="1121">
        <v>0.5</v>
      </c>
      <c r="F76" s="1136">
        <v>80</v>
      </c>
    </row>
    <row r="77" spans="1:6" s="1087" customFormat="1" ht="24">
      <c r="A77" s="1136">
        <v>17</v>
      </c>
      <c r="B77" s="3559"/>
      <c r="C77" s="1050" t="s">
        <v>1526</v>
      </c>
      <c r="D77" s="1050" t="s">
        <v>1527</v>
      </c>
      <c r="E77" s="1121">
        <v>0.5</v>
      </c>
      <c r="F77" s="1136">
        <v>80</v>
      </c>
    </row>
    <row r="78" spans="1:6" s="1087" customFormat="1" ht="24">
      <c r="A78" s="1136">
        <v>18</v>
      </c>
      <c r="B78" s="3559"/>
      <c r="C78" s="1050" t="s">
        <v>1528</v>
      </c>
      <c r="D78" s="1050" t="s">
        <v>1529</v>
      </c>
      <c r="E78" s="1121">
        <v>0.2</v>
      </c>
      <c r="F78" s="1136">
        <v>30</v>
      </c>
    </row>
    <row r="79" spans="1:6" s="1087" customFormat="1" ht="24">
      <c r="A79" s="1136">
        <v>19</v>
      </c>
      <c r="B79" s="3559"/>
      <c r="C79" s="1050" t="s">
        <v>1530</v>
      </c>
      <c r="D79" s="1050" t="s">
        <v>1531</v>
      </c>
      <c r="E79" s="1121">
        <v>0.5</v>
      </c>
      <c r="F79" s="1136">
        <v>80</v>
      </c>
    </row>
    <row r="80" spans="1:6" s="1087" customFormat="1" ht="36">
      <c r="A80" s="1136">
        <v>20</v>
      </c>
      <c r="B80" s="3559"/>
      <c r="C80" s="1050" t="s">
        <v>1532</v>
      </c>
      <c r="D80" s="1050" t="s">
        <v>1533</v>
      </c>
      <c r="E80" s="1121">
        <v>0.2</v>
      </c>
      <c r="F80" s="1136">
        <v>30</v>
      </c>
    </row>
    <row r="81" spans="1:6" s="1087" customFormat="1" ht="36">
      <c r="A81" s="1136">
        <v>21</v>
      </c>
      <c r="B81" s="3559"/>
      <c r="C81" s="1050" t="s">
        <v>1534</v>
      </c>
      <c r="D81" s="1050" t="s">
        <v>1535</v>
      </c>
      <c r="E81" s="1121">
        <v>0.2</v>
      </c>
      <c r="F81" s="1136">
        <v>30</v>
      </c>
    </row>
    <row r="82" spans="1:6" s="1087" customFormat="1" ht="48">
      <c r="A82" s="1136">
        <v>22</v>
      </c>
      <c r="B82" s="3559"/>
      <c r="C82" s="1050" t="s">
        <v>1536</v>
      </c>
      <c r="D82" s="1050" t="s">
        <v>1537</v>
      </c>
      <c r="E82" s="1121">
        <v>0.2</v>
      </c>
      <c r="F82" s="1136">
        <v>30</v>
      </c>
    </row>
    <row r="83" spans="1:6" s="1087" customFormat="1" ht="48">
      <c r="A83" s="1136">
        <v>23</v>
      </c>
      <c r="B83" s="3559"/>
      <c r="C83" s="1050" t="s">
        <v>1538</v>
      </c>
      <c r="D83" s="1050" t="s">
        <v>1539</v>
      </c>
      <c r="E83" s="1121">
        <v>0.2</v>
      </c>
      <c r="F83" s="1136">
        <v>30</v>
      </c>
    </row>
    <row r="84" spans="1:6" s="1087" customFormat="1" ht="36">
      <c r="A84" s="1136">
        <v>24</v>
      </c>
      <c r="B84" s="3559"/>
      <c r="C84" s="1050" t="s">
        <v>1540</v>
      </c>
      <c r="D84" s="1050" t="s">
        <v>1541</v>
      </c>
      <c r="E84" s="1121">
        <v>0.2</v>
      </c>
      <c r="F84" s="1136">
        <v>30</v>
      </c>
    </row>
    <row r="85" spans="1:6" s="1087" customFormat="1" ht="36">
      <c r="A85" s="1136">
        <v>25</v>
      </c>
      <c r="B85" s="3559"/>
      <c r="C85" s="1050" t="s">
        <v>1542</v>
      </c>
      <c r="D85" s="1050" t="s">
        <v>1543</v>
      </c>
      <c r="E85" s="1121">
        <v>0.5</v>
      </c>
      <c r="F85" s="1136">
        <v>80</v>
      </c>
    </row>
    <row r="86" spans="1:6" s="1087" customFormat="1" ht="36">
      <c r="A86" s="1136">
        <v>26</v>
      </c>
      <c r="B86" s="3559"/>
      <c r="C86" s="1050" t="s">
        <v>1544</v>
      </c>
      <c r="D86" s="1050" t="s">
        <v>1545</v>
      </c>
      <c r="E86" s="1121">
        <v>0.2</v>
      </c>
      <c r="F86" s="1136">
        <v>30</v>
      </c>
    </row>
    <row r="87" spans="1:6" s="1087" customFormat="1" ht="36">
      <c r="A87" s="1136">
        <v>27</v>
      </c>
      <c r="B87" s="3559"/>
      <c r="C87" s="1050" t="s">
        <v>1546</v>
      </c>
      <c r="D87" s="1050" t="s">
        <v>1547</v>
      </c>
      <c r="E87" s="1121">
        <v>0.2</v>
      </c>
      <c r="F87" s="1136">
        <v>30</v>
      </c>
    </row>
    <row r="88" spans="1:6" s="1087" customFormat="1" ht="36">
      <c r="A88" s="1136">
        <v>28</v>
      </c>
      <c r="B88" s="3559"/>
      <c r="C88" s="1050" t="s">
        <v>1548</v>
      </c>
      <c r="D88" s="1050" t="s">
        <v>1549</v>
      </c>
      <c r="E88" s="1121">
        <v>0.2</v>
      </c>
      <c r="F88" s="1136">
        <v>30</v>
      </c>
    </row>
    <row r="89" spans="1:6" s="1087" customFormat="1" ht="24">
      <c r="A89" s="1136">
        <v>29</v>
      </c>
      <c r="B89" s="3559"/>
      <c r="C89" s="1050" t="s">
        <v>1550</v>
      </c>
      <c r="D89" s="1050" t="s">
        <v>1551</v>
      </c>
      <c r="E89" s="1121">
        <v>0.2</v>
      </c>
      <c r="F89" s="1136">
        <v>30</v>
      </c>
    </row>
    <row r="90" spans="1:6" s="1087" customFormat="1" ht="24">
      <c r="A90" s="1136">
        <v>30</v>
      </c>
      <c r="B90" s="3559"/>
      <c r="C90" s="1050" t="s">
        <v>1552</v>
      </c>
      <c r="D90" s="1050" t="s">
        <v>1553</v>
      </c>
      <c r="E90" s="1121">
        <v>0.2</v>
      </c>
      <c r="F90" s="1136">
        <v>30</v>
      </c>
    </row>
    <row r="91" spans="1:6" s="1087" customFormat="1" ht="36">
      <c r="A91" s="1136">
        <v>31</v>
      </c>
      <c r="B91" s="3559"/>
      <c r="C91" s="1050" t="s">
        <v>1554</v>
      </c>
      <c r="D91" s="1050" t="s">
        <v>1555</v>
      </c>
      <c r="E91" s="1121">
        <v>0.2</v>
      </c>
      <c r="F91" s="1136">
        <v>30</v>
      </c>
    </row>
    <row r="92" spans="1:6" s="1087" customFormat="1" ht="24">
      <c r="A92" s="1136">
        <v>32</v>
      </c>
      <c r="B92" s="3559" t="s">
        <v>1556</v>
      </c>
      <c r="C92" s="1136" t="s">
        <v>1557</v>
      </c>
      <c r="D92" s="1050" t="s">
        <v>1558</v>
      </c>
      <c r="E92" s="1121">
        <v>0.2</v>
      </c>
      <c r="F92" s="1136">
        <v>30</v>
      </c>
    </row>
    <row r="93" spans="1:6" s="1087" customFormat="1" ht="36">
      <c r="A93" s="1136">
        <v>33</v>
      </c>
      <c r="B93" s="3559"/>
      <c r="C93" s="1136" t="s">
        <v>1559</v>
      </c>
      <c r="D93" s="1050" t="s">
        <v>1560</v>
      </c>
      <c r="E93" s="1121">
        <v>0.2</v>
      </c>
      <c r="F93" s="1136">
        <v>30</v>
      </c>
    </row>
    <row r="94" spans="1:6" s="1087" customFormat="1" ht="48">
      <c r="A94" s="1136">
        <v>34</v>
      </c>
      <c r="B94" s="3559"/>
      <c r="C94" s="1136" t="s">
        <v>1561</v>
      </c>
      <c r="D94" s="1050" t="s">
        <v>1562</v>
      </c>
      <c r="E94" s="1121">
        <v>0.2</v>
      </c>
      <c r="F94" s="1136">
        <v>30</v>
      </c>
    </row>
    <row r="95" spans="1:6" s="1087" customFormat="1" ht="36">
      <c r="A95" s="1136">
        <v>35</v>
      </c>
      <c r="B95" s="3559"/>
      <c r="C95" s="1136" t="s">
        <v>1563</v>
      </c>
      <c r="D95" s="1050" t="s">
        <v>1564</v>
      </c>
      <c r="E95" s="1121">
        <v>0.2</v>
      </c>
      <c r="F95" s="1136">
        <v>30</v>
      </c>
    </row>
    <row r="96" spans="1:6" s="1087" customFormat="1" ht="48">
      <c r="A96" s="1136">
        <v>36</v>
      </c>
      <c r="B96" s="3559"/>
      <c r="C96" s="1050" t="s">
        <v>1565</v>
      </c>
      <c r="D96" s="1050" t="s">
        <v>1566</v>
      </c>
      <c r="E96" s="1121">
        <v>0.2</v>
      </c>
      <c r="F96" s="1136">
        <v>30</v>
      </c>
    </row>
    <row r="97" spans="1:6" s="1087" customFormat="1" ht="36">
      <c r="A97" s="1136">
        <v>37</v>
      </c>
      <c r="B97" s="3559"/>
      <c r="C97" s="1136" t="s">
        <v>1567</v>
      </c>
      <c r="D97" s="1050" t="s">
        <v>1568</v>
      </c>
      <c r="E97" s="1121">
        <v>0.2</v>
      </c>
      <c r="F97" s="1136">
        <v>30</v>
      </c>
    </row>
    <row r="98" spans="1:6" s="1087" customFormat="1" ht="36">
      <c r="A98" s="1136">
        <v>38</v>
      </c>
      <c r="B98" s="3559"/>
      <c r="C98" s="1136" t="s">
        <v>1569</v>
      </c>
      <c r="D98" s="1050" t="s">
        <v>1570</v>
      </c>
      <c r="E98" s="1121">
        <v>0.2</v>
      </c>
      <c r="F98" s="1136">
        <v>30</v>
      </c>
    </row>
    <row r="99" spans="1:6" s="1087" customFormat="1" ht="36">
      <c r="A99" s="1136">
        <v>39</v>
      </c>
      <c r="B99" s="3559" t="s">
        <v>1571</v>
      </c>
      <c r="C99" s="1136" t="s">
        <v>1572</v>
      </c>
      <c r="D99" s="1050" t="s">
        <v>1573</v>
      </c>
      <c r="E99" s="1121">
        <v>0.3</v>
      </c>
      <c r="F99" s="1136">
        <v>50</v>
      </c>
    </row>
    <row r="100" spans="1:6" s="1087" customFormat="1" ht="24">
      <c r="A100" s="1136">
        <v>40</v>
      </c>
      <c r="B100" s="3559"/>
      <c r="C100" s="1136" t="s">
        <v>1574</v>
      </c>
      <c r="D100" s="1050" t="s">
        <v>1575</v>
      </c>
      <c r="E100" s="1121">
        <v>0.2</v>
      </c>
      <c r="F100" s="1136">
        <v>30</v>
      </c>
    </row>
    <row r="101" spans="1:6" s="1087" customFormat="1" ht="36">
      <c r="A101" s="1136">
        <v>41</v>
      </c>
      <c r="B101" s="3559"/>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59" t="s">
        <v>1586</v>
      </c>
      <c r="C105" s="1136" t="s">
        <v>1587</v>
      </c>
      <c r="D105" s="1050" t="s">
        <v>1588</v>
      </c>
      <c r="E105" s="1121">
        <v>0.2</v>
      </c>
      <c r="F105" s="1136">
        <v>30</v>
      </c>
    </row>
    <row r="106" spans="1:6" s="1087" customFormat="1" ht="36">
      <c r="A106" s="1136">
        <v>46</v>
      </c>
      <c r="B106" s="3559"/>
      <c r="C106" s="1136" t="s">
        <v>1589</v>
      </c>
      <c r="D106" s="1050" t="s">
        <v>1590</v>
      </c>
      <c r="E106" s="1121">
        <v>0.2</v>
      </c>
      <c r="F106" s="1136">
        <v>30</v>
      </c>
    </row>
    <row r="107" spans="1:6" s="1087" customFormat="1" ht="36">
      <c r="A107" s="1136">
        <v>47</v>
      </c>
      <c r="B107" s="3559" t="s">
        <v>1591</v>
      </c>
      <c r="C107" s="1136" t="s">
        <v>1592</v>
      </c>
      <c r="D107" s="1050" t="s">
        <v>1593</v>
      </c>
      <c r="E107" s="1121">
        <v>0.3</v>
      </c>
      <c r="F107" s="1136">
        <v>50</v>
      </c>
    </row>
    <row r="108" spans="1:6" s="1087" customFormat="1" ht="36">
      <c r="A108" s="1136">
        <v>48</v>
      </c>
      <c r="B108" s="3559"/>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59" t="s">
        <v>1602</v>
      </c>
      <c r="C111" s="1136" t="s">
        <v>1603</v>
      </c>
      <c r="D111" s="1050" t="s">
        <v>1604</v>
      </c>
      <c r="E111" s="1121">
        <v>0.2</v>
      </c>
      <c r="F111" s="1136">
        <v>30</v>
      </c>
    </row>
    <row r="112" spans="1:6" s="1087" customFormat="1" ht="24">
      <c r="A112" s="1136">
        <v>52</v>
      </c>
      <c r="B112" s="3559"/>
      <c r="C112" s="1136" t="s">
        <v>1605</v>
      </c>
      <c r="D112" s="1050" t="s">
        <v>1606</v>
      </c>
      <c r="E112" s="1121">
        <v>0.2</v>
      </c>
      <c r="F112" s="1136">
        <v>30</v>
      </c>
    </row>
    <row r="113" spans="1:14" s="1087" customFormat="1" ht="24">
      <c r="A113" s="1136">
        <v>53</v>
      </c>
      <c r="B113" s="3559"/>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59" t="s">
        <v>1615</v>
      </c>
      <c r="C116" s="1136" t="s">
        <v>1616</v>
      </c>
      <c r="D116" s="1050" t="s">
        <v>1617</v>
      </c>
      <c r="E116" s="1121">
        <v>0.2</v>
      </c>
      <c r="F116" s="1136">
        <v>30</v>
      </c>
    </row>
    <row r="117" spans="1:14" ht="36">
      <c r="A117" s="1136">
        <v>57</v>
      </c>
      <c r="B117" s="3559"/>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58" t="s">
        <v>1624</v>
      </c>
      <c r="B121" s="3558"/>
      <c r="C121" s="3558"/>
      <c r="D121" s="3558"/>
      <c r="E121" s="3558"/>
      <c r="F121" s="3558"/>
      <c r="G121" s="3558"/>
      <c r="H121" s="3558"/>
      <c r="I121" s="3558"/>
      <c r="J121" s="355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73" t="s">
        <v>1030</v>
      </c>
      <c r="B1" s="3573"/>
      <c r="C1" s="3573"/>
      <c r="D1" s="3573"/>
      <c r="E1" s="3573"/>
      <c r="F1" s="357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74" t="s">
        <v>1043</v>
      </c>
      <c r="B2" s="3574"/>
      <c r="C2" s="3574"/>
      <c r="D2" s="3574"/>
      <c r="E2" s="3574"/>
      <c r="F2" s="357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7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7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77" t="s">
        <v>2068</v>
      </c>
      <c r="B1" s="3577"/>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80" t="s">
        <v>2556</v>
      </c>
      <c r="C1" s="3580"/>
      <c r="D1" s="3580"/>
      <c r="E1" s="3580"/>
      <c r="F1" s="3580"/>
      <c r="G1" s="3579" t="s">
        <v>2557</v>
      </c>
      <c r="H1" s="3579"/>
      <c r="I1" s="3579"/>
      <c r="J1" s="3579"/>
      <c r="K1" s="3579"/>
      <c r="L1" s="3579"/>
      <c r="N1" s="3579" t="s">
        <v>2558</v>
      </c>
      <c r="O1" s="3579"/>
      <c r="P1" s="3579"/>
      <c r="Q1" s="3579"/>
      <c r="S1" s="3579" t="s">
        <v>2559</v>
      </c>
      <c r="T1" s="3579"/>
      <c r="U1" s="3579"/>
      <c r="V1" s="3579"/>
      <c r="X1" s="3578" t="s">
        <v>2619</v>
      </c>
      <c r="Y1" s="3579"/>
      <c r="Z1" s="3579"/>
      <c r="AA1" s="3579"/>
      <c r="AB1" s="3579"/>
      <c r="AD1" s="3578" t="s">
        <v>2623</v>
      </c>
      <c r="AE1" s="3579"/>
      <c r="AF1" s="3579"/>
      <c r="AG1" s="3579"/>
      <c r="AH1" s="3579"/>
    </row>
    <row r="2" spans="1:34" s="2863" customFormat="1" ht="14.25" thickBot="1">
      <c r="B2" s="2864" t="s">
        <v>2560</v>
      </c>
      <c r="C2" s="2864" t="s">
        <v>2621</v>
      </c>
      <c r="D2" s="2865" t="s">
        <v>1635</v>
      </c>
      <c r="E2" s="2865" t="s">
        <v>1938</v>
      </c>
      <c r="F2" s="2864" t="s">
        <v>2622</v>
      </c>
      <c r="G2" s="2866"/>
      <c r="I2" s="2864" t="s">
        <v>2918</v>
      </c>
      <c r="J2" s="2865" t="s">
        <v>2920</v>
      </c>
      <c r="K2" s="2865" t="s">
        <v>2921</v>
      </c>
      <c r="L2" s="2864" t="s">
        <v>2922</v>
      </c>
      <c r="N2" s="2864" t="s">
        <v>2560</v>
      </c>
      <c r="O2" s="2865" t="s">
        <v>2919</v>
      </c>
      <c r="P2" s="2865" t="s">
        <v>1938</v>
      </c>
      <c r="Q2" s="2864" t="s">
        <v>2622</v>
      </c>
      <c r="S2" s="2864" t="s">
        <v>2560</v>
      </c>
      <c r="T2" s="2865" t="s">
        <v>2919</v>
      </c>
      <c r="U2" s="2865" t="s">
        <v>1938</v>
      </c>
      <c r="V2" s="2864" t="s">
        <v>2622</v>
      </c>
      <c r="X2" s="2864" t="s">
        <v>2560</v>
      </c>
      <c r="Y2" s="2864" t="s">
        <v>2621</v>
      </c>
      <c r="Z2" s="2865" t="s">
        <v>1635</v>
      </c>
      <c r="AA2" s="2865" t="s">
        <v>1938</v>
      </c>
      <c r="AB2" s="2864" t="s">
        <v>2622</v>
      </c>
      <c r="AD2" s="2864" t="s">
        <v>2560</v>
      </c>
      <c r="AE2" s="2864" t="s">
        <v>2621</v>
      </c>
      <c r="AF2" s="2865" t="s">
        <v>1635</v>
      </c>
      <c r="AG2" s="2865" t="s">
        <v>1938</v>
      </c>
      <c r="AH2" s="2864" t="s">
        <v>2622</v>
      </c>
    </row>
    <row r="3" spans="1:34" s="2873" customFormat="1" ht="14.25">
      <c r="A3" s="2867" t="s">
        <v>2929</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Z31"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3000</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2930</v>
      </c>
      <c r="X5" s="2894">
        <f>ROUND(IF(项目基本情况!B4="出让",SUMPRODUCT(PRODUCT(1+N5:N$34)),SUMPRODUCT(PRODUCT(1+N5:N$33))),4)</f>
        <v>1.619</v>
      </c>
      <c r="Y5" s="2894">
        <f>ROUND(IF(项目基本情况!B4="出让",SUMPRODUCT(PRODUCT(1+O5:O$34)),SUMPRODUCT(PRODUCT(1+O5:O$33))),4)</f>
        <v>1.3491</v>
      </c>
      <c r="Z5" s="2894">
        <f t="shared" ref="Z5" si="11">Y5</f>
        <v>1.3491</v>
      </c>
      <c r="AA5" s="2894">
        <f>ROUND(IF(项目基本情况!B4="出让",SUMPRODUCT(PRODUCT(1+P5:P$34)),SUMPRODUCT(PRODUCT(1+P5:P$33))),4)</f>
        <v>1.6988000000000001</v>
      </c>
      <c r="AB5" s="2894">
        <f>ROUND(IF(项目基本情况!B4="出让",SUMPRODUCT(PRODUCT(1+Q5:Q$34)),SUMPRODUCT(PRODUCT(1+Q5:Q$33))),4)</f>
        <v>1.4315</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2999</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ROUND(IF(项目基本情况!B5="出让",SUMPRODUCT(PRODUCT(1+N6:N$34)),SUMPRODUCT(PRODUCT(1+N6:N$33))),4)</f>
        <v>1.619</v>
      </c>
      <c r="Y6" s="2884">
        <f>ROUND(IF(项目基本情况!B5="出让",SUMPRODUCT(PRODUCT(1+O6:O$34)),SUMPRODUCT(PRODUCT(1+O6:O$33))),4)</f>
        <v>1.3491</v>
      </c>
      <c r="Z6" s="2884">
        <f t="shared" ref="Z6" si="22">Y6</f>
        <v>1.3491</v>
      </c>
      <c r="AA6" s="2884">
        <f>ROUND(IF(项目基本情况!B5="出让",SUMPRODUCT(PRODUCT(1+P6:P$34)),SUMPRODUCT(PRODUCT(1+P6:P$33))),4)</f>
        <v>1.6988000000000001</v>
      </c>
      <c r="AB6" s="2884">
        <f>ROUND(IF(项目基本情况!B5="出让",SUMPRODUCT(PRODUCT(1+Q6:Q$34)),SUMPRODUCT(PRODUCT(1+Q6:Q$33))),4)</f>
        <v>1.4315</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2997</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ROUND(IF(项目基本情况!B6="出让",SUMPRODUCT(PRODUCT(1+N7:N$34)),SUMPRODUCT(PRODUCT(1+N7:N$33))),4)</f>
        <v>1.6034999999999999</v>
      </c>
      <c r="Y7" s="2884">
        <f>ROUND(IF(项目基本情况!B6="出让",SUMPRODUCT(PRODUCT(1+O7:O$34)),SUMPRODUCT(PRODUCT(1+O7:O$33))),4)</f>
        <v>1.3469</v>
      </c>
      <c r="Z7" s="2884">
        <f t="shared" ref="Z7" si="33">Y7</f>
        <v>1.3469</v>
      </c>
      <c r="AA7" s="2884">
        <f>ROUND(IF(项目基本情况!B6="出让",SUMPRODUCT(PRODUCT(1+P7:P$34)),SUMPRODUCT(PRODUCT(1+P7:P$33))),4)</f>
        <v>1.6801999999999999</v>
      </c>
      <c r="AB7" s="2884">
        <f>ROUND(IF(项目基本情况!B6="出让",SUMPRODUCT(PRODUCT(1+Q7:Q$34)),SUMPRODUCT(PRODUCT(1+Q7:Q$33))),4)</f>
        <v>1.4263999999999999</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2996</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ROUND(IF(项目基本情况!B7="出让",SUMPRODUCT(PRODUCT(1+N8:N$34)),SUMPRODUCT(PRODUCT(1+N8:N$33))),4)</f>
        <v>1.571</v>
      </c>
      <c r="Y8" s="2884">
        <f>ROUND(IF(项目基本情况!B7="出让",SUMPRODUCT(PRODUCT(1+O8:O$34)),SUMPRODUCT(PRODUCT(1+O8:O$33))),4)</f>
        <v>1.3420000000000001</v>
      </c>
      <c r="Z8" s="2884">
        <f t="shared" ref="Z8" si="44">Y8</f>
        <v>1.3420000000000001</v>
      </c>
      <c r="AA8" s="2884">
        <f>ROUND(IF(项目基本情况!B7="出让",SUMPRODUCT(PRODUCT(1+P8:P$34)),SUMPRODUCT(PRODUCT(1+P8:P$33))),4)</f>
        <v>1.6415999999999999</v>
      </c>
      <c r="AB8" s="2884">
        <f>ROUND(IF(项目基本情况!B7="出让",SUMPRODUCT(PRODUCT(1+Q8:Q$34)),SUMPRODUCT(PRODUCT(1+Q8:Q$33))),4)</f>
        <v>1.389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2959</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ROUND(IF(项目基本情况!B8="出让",SUMPRODUCT(PRODUCT(1+N9:N$34)),SUMPRODUCT(PRODUCT(1+N9:N$33))),4)</f>
        <v>1.5652999999999999</v>
      </c>
      <c r="Y9" s="2884">
        <f>ROUND(IF(项目基本情况!B8="出让",SUMPRODUCT(PRODUCT(1+O9:O$34)),SUMPRODUCT(PRODUCT(1+O9:O$33))),4)</f>
        <v>1.3472</v>
      </c>
      <c r="Z9" s="2884">
        <f t="shared" ref="Z9" si="55">Y9</f>
        <v>1.3472</v>
      </c>
      <c r="AA9" s="2884">
        <f>ROUND(IF(项目基本情况!B8="出让",SUMPRODUCT(PRODUCT(1+P9:P$34)),SUMPRODUCT(PRODUCT(1+P9:P$33))),4)</f>
        <v>1.6335999999999999</v>
      </c>
      <c r="AB9" s="2884">
        <f>ROUND(IF(项目基本情况!B8="出让",SUMPRODUCT(PRODUCT(1+Q9:Q$34)),SUMPRODUCT(PRODUCT(1+Q9:Q$33))),4)</f>
        <v>1.3880999999999999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2957</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ROUND(IF(项目基本情况!B8="出让",SUMPRODUCT(PRODUCT(1+N10:N$34)),SUMPRODUCT(PRODUCT(1+N10:N$33))),4)</f>
        <v>1.5605</v>
      </c>
      <c r="Y10" s="2884">
        <f>ROUND(IF(项目基本情况!B8="出让",SUMPRODUCT(PRODUCT(1+O10:O$34)),SUMPRODUCT(PRODUCT(1+O10:O$33))),4)</f>
        <v>1.3577999999999999</v>
      </c>
      <c r="Z10" s="2884">
        <f t="shared" ref="Z10" si="66">Y10</f>
        <v>1.3577999999999999</v>
      </c>
      <c r="AA10" s="2884">
        <f>ROUND(IF(项目基本情况!B8="出让",SUMPRODUCT(PRODUCT(1+P10:P$34)),SUMPRODUCT(PRODUCT(1+P10:P$33))),4)</f>
        <v>1.6254999999999999</v>
      </c>
      <c r="AB10" s="2884">
        <f>ROUND(IF(项目基本情况!B8="出让",SUMPRODUCT(PRODUCT(1+Q10:Q$34)),SUMPRODUCT(PRODUCT(1+Q10:Q$33))),4)</f>
        <v>1.3815999999999999</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2954</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ROUND(IF(项目基本情况!B8="出让",SUMPRODUCT(PRODUCT(1+N11:N$34)),SUMPRODUCT(PRODUCT(1+N11:N$33))),4)</f>
        <v>1.5586</v>
      </c>
      <c r="Y11" s="2884">
        <f>ROUND(IF(项目基本情况!B8="出让",SUMPRODUCT(PRODUCT(1+O11:O$34)),SUMPRODUCT(PRODUCT(1+O11:O$33))),4)</f>
        <v>1.3633</v>
      </c>
      <c r="Z11" s="2884">
        <f t="shared" ref="Z11" si="77">Y11</f>
        <v>1.3633</v>
      </c>
      <c r="AA11" s="2884">
        <f>ROUND(IF(项目基本情况!B8="出让",SUMPRODUCT(PRODUCT(1+P11:P$34)),SUMPRODUCT(PRODUCT(1+P11:P$33))),4)</f>
        <v>1.6221000000000001</v>
      </c>
      <c r="AB11" s="2884">
        <f>ROUND(IF(项目基本情况!B8="出让",SUMPRODUCT(PRODUCT(1+Q11:Q$34)),SUMPRODUCT(PRODUCT(1+Q11:Q$33))),4)</f>
        <v>1.3777999999999999</v>
      </c>
      <c r="AC11" s="2884"/>
      <c r="AD11" s="2885">
        <f>ROUND(AVERAGE(I11:I$34)/100,4)</f>
        <v>0.02</v>
      </c>
      <c r="AE11" s="2885">
        <f>ROUND(AVERAGE(J11:J$34)/100,4)</f>
        <v>1.4E-2</v>
      </c>
      <c r="AF11" s="2885">
        <f t="shared" ref="AF11" si="78">AE11</f>
        <v>1.4E-2</v>
      </c>
      <c r="AG11" s="2885">
        <f>ROUND(AVERAGE(K11:K$34)/100,4)</f>
        <v>2.1899999999999999E-2</v>
      </c>
      <c r="AH11" s="2885">
        <f>ROUND(AVERAGE(L11:L$34)/100,4)</f>
        <v>1.4E-2</v>
      </c>
    </row>
    <row r="12" spans="1:34" s="2903" customFormat="1" ht="13.5" thickBot="1">
      <c r="A12" s="2896" t="s">
        <v>2953</v>
      </c>
      <c r="B12" s="2897">
        <f t="shared" ref="B12" si="79">B13*(1+N12)</f>
        <v>477.19997390765138</v>
      </c>
      <c r="C12" s="2897">
        <f t="shared" ref="C12" si="80">C13*(1+O12)</f>
        <v>351.84874729536665</v>
      </c>
      <c r="D12" s="2897">
        <f t="shared" ref="D12" si="81">C12</f>
        <v>351.84874729536665</v>
      </c>
      <c r="E12" s="2897">
        <f t="shared" ref="E12" si="82">E13*(1+P12)</f>
        <v>682.29768951465201</v>
      </c>
      <c r="F12" s="2897">
        <f t="shared" ref="F12" si="83">F13*(1+Q12)</f>
        <v>315.26985675409043</v>
      </c>
      <c r="G12" s="2880">
        <v>2019</v>
      </c>
      <c r="H12" s="2898">
        <v>3</v>
      </c>
      <c r="I12" s="2898">
        <v>0.61</v>
      </c>
      <c r="J12" s="2898">
        <v>0.67</v>
      </c>
      <c r="K12" s="2898">
        <v>0.6</v>
      </c>
      <c r="L12" s="2904">
        <v>1.03</v>
      </c>
      <c r="M12" s="2884"/>
      <c r="N12" s="2899">
        <f t="shared" ref="N12" si="84">I12/100</f>
        <v>6.0999999999999995E-3</v>
      </c>
      <c r="O12" s="2885">
        <f t="shared" ref="O12" si="85">J12/100</f>
        <v>6.7000000000000002E-3</v>
      </c>
      <c r="P12" s="2885">
        <f t="shared" ref="P12" si="86">K12/100</f>
        <v>6.0000000000000001E-3</v>
      </c>
      <c r="Q12" s="2885">
        <f t="shared" ref="Q12" si="87">L12/100</f>
        <v>1.03E-2</v>
      </c>
      <c r="R12" s="2900"/>
      <c r="S12" s="2901"/>
      <c r="T12" s="2902"/>
      <c r="U12" s="2902"/>
      <c r="V12" s="2902"/>
      <c r="W12" s="2884"/>
      <c r="X12" s="2884">
        <f>ROUND(IF(项目基本情况!B8="出让",SUMPRODUCT(PRODUCT(1+N12:N$34)),SUMPRODUCT(PRODUCT(1+N12:N$33))),4)</f>
        <v>1.5516000000000001</v>
      </c>
      <c r="Y12" s="2884">
        <f>ROUND(IF(项目基本情况!B8="出让",SUMPRODUCT(PRODUCT(1+O12:O$34)),SUMPRODUCT(PRODUCT(1+O12:O$33))),4)</f>
        <v>1.3649</v>
      </c>
      <c r="Z12" s="2884">
        <f t="shared" ref="Z12" si="88">Y12</f>
        <v>1.3649</v>
      </c>
      <c r="AA12" s="2884">
        <f>ROUND(IF(项目基本情况!B8="出让",SUMPRODUCT(PRODUCT(1+P12:P$34)),SUMPRODUCT(PRODUCT(1+P12:P$33))),4)</f>
        <v>1.6133999999999999</v>
      </c>
      <c r="AB12" s="2884">
        <f>ROUND(IF(项目基本情况!B8="出让",SUMPRODUCT(PRODUCT(1+Q12:Q$34)),SUMPRODUCT(PRODUCT(1+Q12:Q$33))),4)</f>
        <v>1.3713</v>
      </c>
      <c r="AC12" s="2884"/>
      <c r="AD12" s="2885">
        <f>ROUND(AVERAGE(I12:I$34)/100,4)</f>
        <v>2.07E-2</v>
      </c>
      <c r="AE12" s="2885">
        <f>ROUND(AVERAGE(J12:J$34)/100,4)</f>
        <v>1.47E-2</v>
      </c>
      <c r="AF12" s="2885">
        <f t="shared" ref="AF12" si="89">AE12</f>
        <v>1.47E-2</v>
      </c>
      <c r="AG12" s="2885">
        <f>ROUND(AVERAGE(K12:K$34)/100,4)</f>
        <v>2.2599999999999999E-2</v>
      </c>
      <c r="AH12" s="2885">
        <f>ROUND(AVERAGE(L12:L$34)/100,4)</f>
        <v>1.44E-2</v>
      </c>
    </row>
    <row r="13" spans="1:34" s="2903" customFormat="1">
      <c r="A13" s="2896" t="s">
        <v>2950</v>
      </c>
      <c r="B13" s="2897">
        <f t="shared" ref="B13:B18" si="90">B14*(1+N13)</f>
        <v>474.30670301923408</v>
      </c>
      <c r="C13" s="2897">
        <f t="shared" ref="C13" si="91">C14*(1+O13)</f>
        <v>349.50705005996491</v>
      </c>
      <c r="D13" s="2897">
        <f t="shared" ref="D13" si="92">C13</f>
        <v>349.50705005996491</v>
      </c>
      <c r="E13" s="2897">
        <f t="shared" ref="E13" si="93">E14*(1+P13)</f>
        <v>678.22831959706957</v>
      </c>
      <c r="F13" s="2897">
        <f t="shared" ref="F13" si="94">F14*(1+Q13)</f>
        <v>312.0556832169558</v>
      </c>
      <c r="G13" s="2880">
        <v>2019</v>
      </c>
      <c r="H13" s="2905">
        <v>2</v>
      </c>
      <c r="I13" s="2905">
        <v>1.53</v>
      </c>
      <c r="J13" s="2905">
        <v>1.01</v>
      </c>
      <c r="K13" s="2905">
        <v>1.62</v>
      </c>
      <c r="L13" s="2906">
        <v>1.25</v>
      </c>
      <c r="M13" s="2884"/>
      <c r="N13" s="2899">
        <f t="shared" ref="N13" si="95">I13/100</f>
        <v>1.5300000000000001E-2</v>
      </c>
      <c r="O13" s="2885">
        <f t="shared" ref="O13" si="96">J13/100</f>
        <v>1.01E-2</v>
      </c>
      <c r="P13" s="2885">
        <f t="shared" ref="P13" si="97">K13/100</f>
        <v>1.6200000000000003E-2</v>
      </c>
      <c r="Q13" s="2885">
        <f t="shared" ref="Q13" si="98">L13/100</f>
        <v>1.2500000000000001E-2</v>
      </c>
      <c r="R13" s="2900"/>
      <c r="S13" s="2901"/>
      <c r="T13" s="2902"/>
      <c r="U13" s="2902"/>
      <c r="V13" s="2902"/>
      <c r="W13" s="2884"/>
      <c r="X13" s="2884">
        <f>ROUND(IF(项目基本情况!B8="出让",SUMPRODUCT(PRODUCT(1+N13:N$34)),SUMPRODUCT(PRODUCT(1+N13:N$33))),4)</f>
        <v>1.5422</v>
      </c>
      <c r="Y13" s="2884">
        <f>ROUND(IF(项目基本情况!B8="出让",SUMPRODUCT(PRODUCT(1+O13:O$34)),SUMPRODUCT(PRODUCT(1+O13:O$33))),4)</f>
        <v>1.3557999999999999</v>
      </c>
      <c r="Z13" s="2884">
        <f t="shared" ref="Z13" si="99">Y13</f>
        <v>1.3557999999999999</v>
      </c>
      <c r="AA13" s="2884">
        <f>ROUND(IF(项目基本情况!B8="出让",SUMPRODUCT(PRODUCT(1+P13:P$34)),SUMPRODUCT(PRODUCT(1+P13:P$33))),4)</f>
        <v>1.6036999999999999</v>
      </c>
      <c r="AB13" s="2884">
        <f>ROUND(IF(项目基本情况!B8="出让",SUMPRODUCT(PRODUCT(1+Q13:Q$34)),SUMPRODUCT(PRODUCT(1+Q13:Q$33))),4)</f>
        <v>1.3573</v>
      </c>
      <c r="AC13" s="2884"/>
      <c r="AD13" s="2885">
        <f>ROUND(AVERAGE(I13:I$34)/100,4)</f>
        <v>2.1299999999999999E-2</v>
      </c>
      <c r="AE13" s="2885">
        <f>ROUND(AVERAGE(J13:J$34)/100,4)</f>
        <v>1.4999999999999999E-2</v>
      </c>
      <c r="AF13" s="2885">
        <f t="shared" ref="AF13" si="100">AE13</f>
        <v>1.4999999999999999E-2</v>
      </c>
      <c r="AG13" s="2885">
        <f>ROUND(AVERAGE(K13:K$34)/100,4)</f>
        <v>2.3300000000000001E-2</v>
      </c>
      <c r="AH13" s="2885">
        <f>ROUND(AVERAGE(L13:L$34)/100,4)</f>
        <v>1.46E-2</v>
      </c>
    </row>
    <row r="14" spans="1:34" s="2903" customFormat="1" ht="13.5" thickBot="1">
      <c r="A14" s="2896" t="s">
        <v>2949</v>
      </c>
      <c r="B14" s="2897">
        <f t="shared" si="90"/>
        <v>467.15916775261894</v>
      </c>
      <c r="C14" s="2897">
        <f t="shared" ref="C14" si="101">C15*(1+O14)</f>
        <v>346.01232557169084</v>
      </c>
      <c r="D14" s="2897">
        <f t="shared" ref="D14" si="102">C14</f>
        <v>346.01232557169084</v>
      </c>
      <c r="E14" s="2897">
        <f t="shared" ref="E14" si="103">E15*(1+P14)</f>
        <v>667.41617752122568</v>
      </c>
      <c r="F14" s="2897">
        <f t="shared" ref="F14" si="104">F15*(1+Q14)</f>
        <v>308.20314391798104</v>
      </c>
      <c r="G14" s="2880">
        <v>2019</v>
      </c>
      <c r="H14" s="2898">
        <v>1</v>
      </c>
      <c r="I14" s="2898">
        <v>0.6</v>
      </c>
      <c r="J14" s="2898">
        <v>0.37</v>
      </c>
      <c r="K14" s="2898">
        <v>0.63</v>
      </c>
      <c r="L14" s="2904">
        <v>1.1299999999999999</v>
      </c>
      <c r="M14" s="2884"/>
      <c r="N14" s="2899">
        <f t="shared" ref="N14" si="105">I14/100</f>
        <v>6.0000000000000001E-3</v>
      </c>
      <c r="O14" s="2885">
        <f t="shared" ref="O14" si="106">J14/100</f>
        <v>3.7000000000000002E-3</v>
      </c>
      <c r="P14" s="2885">
        <f t="shared" ref="P14" si="107">K14/100</f>
        <v>6.3E-3</v>
      </c>
      <c r="Q14" s="2885">
        <f t="shared" ref="Q14" si="108">L14/100</f>
        <v>1.1299999999999999E-2</v>
      </c>
      <c r="R14" s="2900"/>
      <c r="S14" s="2901">
        <f>B14/B15-1</f>
        <v>6.0000000000000053E-3</v>
      </c>
      <c r="T14" s="2902">
        <f>C14/C15-1</f>
        <v>3.7000000000000366E-3</v>
      </c>
      <c r="U14" s="2902">
        <f>E14/E15-1</f>
        <v>6.2999999999999723E-3</v>
      </c>
      <c r="V14" s="2902">
        <f>F14/F15-1</f>
        <v>1.1300000000000088E-2</v>
      </c>
      <c r="W14" s="2884"/>
      <c r="X14" s="2884">
        <f>ROUND(IF(项目基本情况!B8="出让",SUMPRODUCT(PRODUCT(1+N14:N$34)),SUMPRODUCT(PRODUCT(1+N14:N$33))),4)</f>
        <v>1.5189999999999999</v>
      </c>
      <c r="Y14" s="2884">
        <f>ROUND(IF(项目基本情况!B8="出让",SUMPRODUCT(PRODUCT(1+O14:O$34)),SUMPRODUCT(PRODUCT(1+O14:O$33))),4)</f>
        <v>1.3423</v>
      </c>
      <c r="Z14" s="2884">
        <f t="shared" ref="Z14" si="109">Y14</f>
        <v>1.3423</v>
      </c>
      <c r="AA14" s="2884">
        <f>ROUND(IF(项目基本情况!B8="出让",SUMPRODUCT(PRODUCT(1+P14:P$34)),SUMPRODUCT(PRODUCT(1+P14:P$33))),4)</f>
        <v>1.5782</v>
      </c>
      <c r="AB14" s="2884">
        <f>ROUND(IF(项目基本情况!B8="出让",SUMPRODUCT(PRODUCT(1+Q14:Q$34)),SUMPRODUCT(PRODUCT(1+Q14:Q$33))),4)</f>
        <v>1.3405</v>
      </c>
      <c r="AC14" s="2884"/>
      <c r="AD14" s="2885">
        <f>ROUND(AVERAGE(I14:I$34)/100,4)</f>
        <v>2.1600000000000001E-2</v>
      </c>
      <c r="AE14" s="2885">
        <f>ROUND(AVERAGE(J14:J$34)/100,4)</f>
        <v>1.5299999999999999E-2</v>
      </c>
      <c r="AF14" s="2885">
        <f t="shared" ref="AF14" si="110">AE14</f>
        <v>1.5299999999999999E-2</v>
      </c>
      <c r="AG14" s="2885">
        <f>ROUND(AVERAGE(K14:K$34)/100,4)</f>
        <v>2.3699999999999999E-2</v>
      </c>
      <c r="AH14" s="2885">
        <f>ROUND(AVERAGE(L14:L$34)/100,4)</f>
        <v>1.47E-2</v>
      </c>
    </row>
    <row r="15" spans="1:34" s="2903" customFormat="1">
      <c r="A15" s="2896" t="s">
        <v>2946</v>
      </c>
      <c r="B15" s="2907">
        <f t="shared" si="90"/>
        <v>464.37293017158942</v>
      </c>
      <c r="C15" s="2907">
        <f t="shared" ref="C15" si="111">C16*(1+O15)</f>
        <v>344.73679941385956</v>
      </c>
      <c r="D15" s="2907">
        <f t="shared" ref="D15" si="112">C15</f>
        <v>344.73679941385956</v>
      </c>
      <c r="E15" s="2907">
        <f t="shared" ref="E15" si="113">E16*(1+P15)</f>
        <v>663.2377795103107</v>
      </c>
      <c r="F15" s="2908">
        <f t="shared" ref="F15" si="114">F16*(1+Q15)</f>
        <v>304.75936311478398</v>
      </c>
      <c r="G15" s="3582">
        <v>2018</v>
      </c>
      <c r="H15" s="2905">
        <v>4</v>
      </c>
      <c r="I15" s="2905">
        <v>0.96</v>
      </c>
      <c r="J15" s="2905">
        <v>1.03</v>
      </c>
      <c r="K15" s="2905">
        <v>0.92</v>
      </c>
      <c r="L15" s="2906">
        <v>1.29</v>
      </c>
      <c r="M15" s="2884"/>
      <c r="N15" s="2899">
        <f t="shared" ref="N15" si="115">I15/100</f>
        <v>9.5999999999999992E-3</v>
      </c>
      <c r="O15" s="2885">
        <f t="shared" ref="O15" si="116">J15/100</f>
        <v>1.03E-2</v>
      </c>
      <c r="P15" s="2885">
        <f t="shared" ref="P15" si="117">K15/100</f>
        <v>9.1999999999999998E-3</v>
      </c>
      <c r="Q15" s="2885">
        <f t="shared" ref="Q15" si="118">L15/100</f>
        <v>1.29E-2</v>
      </c>
      <c r="R15" s="2900"/>
      <c r="S15" s="2909"/>
      <c r="T15" s="2910"/>
      <c r="U15" s="2910"/>
      <c r="V15" s="2910"/>
      <c r="W15" s="2884"/>
      <c r="X15" s="2884">
        <f>ROUND(SUMPRODUCT(PRODUCT(1+N15:N$33)),4)</f>
        <v>1.5099</v>
      </c>
      <c r="Y15" s="2884">
        <f>ROUND(SUMPRODUCT(PRODUCT(1+O15:O$33)),4)</f>
        <v>1.3372999999999999</v>
      </c>
      <c r="Z15" s="2884">
        <f t="shared" ref="Z15" si="119">Y15</f>
        <v>1.3372999999999999</v>
      </c>
      <c r="AA15" s="2884">
        <f>ROUND(SUMPRODUCT(PRODUCT(1+P15:P$33)),4)</f>
        <v>1.5683</v>
      </c>
      <c r="AB15" s="2884">
        <f>ROUND(SUMPRODUCT(PRODUCT(1+Q15:Q$33)),4)</f>
        <v>1.3255999999999999</v>
      </c>
      <c r="AC15" s="2884"/>
      <c r="AD15" s="2885">
        <f>ROUND(AVERAGE(I15:I$34)/100,4)</f>
        <v>2.24E-2</v>
      </c>
      <c r="AE15" s="2885">
        <f>ROUND(AVERAGE(J15:J$34)/100,4)</f>
        <v>1.5800000000000002E-2</v>
      </c>
      <c r="AF15" s="2885">
        <f t="shared" ref="AF15" si="120">AE15</f>
        <v>1.5800000000000002E-2</v>
      </c>
      <c r="AG15" s="2885">
        <f>ROUND(AVERAGE(K15:K$34)/100,4)</f>
        <v>2.4500000000000001E-2</v>
      </c>
      <c r="AH15" s="2885">
        <f>ROUND(AVERAGE(L15:L$34)/100,4)</f>
        <v>1.49E-2</v>
      </c>
    </row>
    <row r="16" spans="1:34" s="2903" customFormat="1" ht="14.45" customHeight="1">
      <c r="A16" s="2896" t="s">
        <v>2939</v>
      </c>
      <c r="B16" s="2897">
        <f t="shared" si="90"/>
        <v>459.95733971036987</v>
      </c>
      <c r="C16" s="2897">
        <f t="shared" ref="C16" si="121">C17*(1+O16)</f>
        <v>341.22221064422405</v>
      </c>
      <c r="D16" s="2897">
        <f t="shared" ref="D16" si="122">C16</f>
        <v>341.22221064422405</v>
      </c>
      <c r="E16" s="2897">
        <f t="shared" ref="E16" si="123">E17*(1+P16)</f>
        <v>657.19161663724799</v>
      </c>
      <c r="F16" s="2897">
        <f t="shared" ref="F16" si="124">F17*(1+Q16)</f>
        <v>300.87803644464805</v>
      </c>
      <c r="G16" s="3582"/>
      <c r="H16" s="2898">
        <v>3</v>
      </c>
      <c r="I16" s="2898">
        <v>1.51</v>
      </c>
      <c r="J16" s="2898">
        <v>1.41</v>
      </c>
      <c r="K16" s="2898">
        <v>1.52</v>
      </c>
      <c r="L16" s="2904">
        <v>1.74</v>
      </c>
      <c r="M16" s="2884"/>
      <c r="N16" s="2899">
        <f t="shared" ref="N16" si="125">I16/100</f>
        <v>1.5100000000000001E-2</v>
      </c>
      <c r="O16" s="2885">
        <f t="shared" ref="O16" si="126">J16/100</f>
        <v>1.41E-2</v>
      </c>
      <c r="P16" s="2885">
        <f t="shared" ref="P16" si="127">K16/100</f>
        <v>1.52E-2</v>
      </c>
      <c r="Q16" s="2885">
        <f t="shared" ref="Q16" si="128">L16/100</f>
        <v>1.7399999999999999E-2</v>
      </c>
      <c r="R16" s="2900"/>
      <c r="S16" s="2899"/>
      <c r="T16" s="2885"/>
      <c r="U16" s="2885"/>
      <c r="V16" s="2885"/>
      <c r="W16" s="2884"/>
      <c r="X16" s="2884">
        <f>ROUND(SUMPRODUCT(PRODUCT(1+N16:N$33)),4)</f>
        <v>1.4956</v>
      </c>
      <c r="Y16" s="2884">
        <f>ROUND(SUMPRODUCT(PRODUCT(1+O16:O$33)),4)</f>
        <v>1.3237000000000001</v>
      </c>
      <c r="Z16" s="2884">
        <f t="shared" ref="Z16" si="129">Y16</f>
        <v>1.3237000000000001</v>
      </c>
      <c r="AA16" s="2884">
        <f>ROUND(SUMPRODUCT(PRODUCT(1+P16:P$33)),4)</f>
        <v>1.554</v>
      </c>
      <c r="AB16" s="2884">
        <f>ROUND(SUMPRODUCT(PRODUCT(1+Q16:Q$33)),4)</f>
        <v>1.3087</v>
      </c>
      <c r="AC16" s="2884"/>
      <c r="AD16" s="2885">
        <f>ROUND(AVERAGE(I16:I$34)/100,4)</f>
        <v>2.3099999999999999E-2</v>
      </c>
      <c r="AE16" s="2885">
        <f>ROUND(AVERAGE(J16:J$34)/100,4)</f>
        <v>1.61E-2</v>
      </c>
      <c r="AF16" s="2885">
        <f t="shared" ref="AF16" si="130">AE16</f>
        <v>1.61E-2</v>
      </c>
      <c r="AG16" s="2885">
        <f>ROUND(AVERAGE(K16:K$34)/100,4)</f>
        <v>2.53E-2</v>
      </c>
      <c r="AH16" s="2885">
        <f>ROUND(AVERAGE(L16:L$34)/100,4)</f>
        <v>1.4999999999999999E-2</v>
      </c>
    </row>
    <row r="17" spans="1:34" s="2903" customFormat="1" ht="14.45" customHeight="1">
      <c r="A17" s="2896" t="s">
        <v>2940</v>
      </c>
      <c r="B17" s="2897">
        <f t="shared" si="90"/>
        <v>453.11529869999993</v>
      </c>
      <c r="C17" s="2897">
        <f t="shared" ref="C17" si="131">C18*(1+O17)</f>
        <v>336.47787264000004</v>
      </c>
      <c r="D17" s="2897">
        <f t="shared" ref="D17" si="132">C17</f>
        <v>336.47787264000004</v>
      </c>
      <c r="E17" s="2897">
        <f t="shared" ref="E17" si="133">E18*(1+P17)</f>
        <v>647.35186823999993</v>
      </c>
      <c r="F17" s="2897">
        <f t="shared" ref="F17" si="134">F18*(1+Q17)</f>
        <v>295.73229452000004</v>
      </c>
      <c r="G17" s="3582"/>
      <c r="H17" s="2911">
        <v>2</v>
      </c>
      <c r="I17" s="2911">
        <v>1.49</v>
      </c>
      <c r="J17" s="2911">
        <v>0.96</v>
      </c>
      <c r="K17" s="2911">
        <v>1.58</v>
      </c>
      <c r="L17" s="2912">
        <v>2.44</v>
      </c>
      <c r="M17" s="2884"/>
      <c r="N17" s="2899">
        <f t="shared" ref="N17" si="135">I17/100</f>
        <v>1.49E-2</v>
      </c>
      <c r="O17" s="2885">
        <f t="shared" ref="O17" si="136">J17/100</f>
        <v>9.5999999999999992E-3</v>
      </c>
      <c r="P17" s="2885">
        <f t="shared" ref="P17" si="137">K17/100</f>
        <v>1.5800000000000002E-2</v>
      </c>
      <c r="Q17" s="2885">
        <f t="shared" ref="Q17" si="138">L17/100</f>
        <v>2.4399999999999998E-2</v>
      </c>
      <c r="R17" s="2900"/>
      <c r="S17" s="2899"/>
      <c r="T17" s="2885"/>
      <c r="U17" s="2885"/>
      <c r="V17" s="2885"/>
      <c r="W17" s="2884"/>
      <c r="X17" s="2884">
        <f>ROUND(SUMPRODUCT(PRODUCT(1+N17:N$33)),4)</f>
        <v>1.4733000000000001</v>
      </c>
      <c r="Y17" s="2884">
        <f>ROUND(SUMPRODUCT(PRODUCT(1+O17:O$33)),4)</f>
        <v>1.3052999999999999</v>
      </c>
      <c r="Z17" s="2884">
        <f t="shared" ref="Z17" si="139">Y17</f>
        <v>1.3052999999999999</v>
      </c>
      <c r="AA17" s="2884">
        <f>ROUND(SUMPRODUCT(PRODUCT(1+P17:P$33)),4)</f>
        <v>1.5306999999999999</v>
      </c>
      <c r="AB17" s="2884">
        <f>ROUND(SUMPRODUCT(PRODUCT(1+Q17:Q$33)),4)</f>
        <v>1.2863</v>
      </c>
      <c r="AC17" s="2884"/>
      <c r="AD17" s="2885">
        <f>ROUND(AVERAGE(I17:I$34)/100,4)</f>
        <v>2.35E-2</v>
      </c>
      <c r="AE17" s="2885">
        <f>ROUND(AVERAGE(J17:J$34)/100,4)</f>
        <v>1.6199999999999999E-2</v>
      </c>
      <c r="AF17" s="2885">
        <f t="shared" ref="AF17" si="140">AE17</f>
        <v>1.6199999999999999E-2</v>
      </c>
      <c r="AG17" s="2885">
        <f>ROUND(AVERAGE(K17:K$34)/100,4)</f>
        <v>2.5899999999999999E-2</v>
      </c>
      <c r="AH17" s="2885">
        <f>ROUND(AVERAGE(L17:L$34)/100,4)</f>
        <v>1.49E-2</v>
      </c>
    </row>
    <row r="18" spans="1:34" s="2903" customFormat="1" ht="15" customHeight="1" thickBot="1">
      <c r="A18" s="2896" t="s">
        <v>2936</v>
      </c>
      <c r="B18" s="2897">
        <f t="shared" si="90"/>
        <v>446.46299999999997</v>
      </c>
      <c r="C18" s="2897">
        <f t="shared" ref="C18" si="141">C19*(1+O18)</f>
        <v>333.27840000000003</v>
      </c>
      <c r="D18" s="2897">
        <f t="shared" ref="D18:D23" si="142">C18</f>
        <v>333.27840000000003</v>
      </c>
      <c r="E18" s="2897">
        <f t="shared" ref="E18" si="143">E19*(1+P18)</f>
        <v>637.28279999999995</v>
      </c>
      <c r="F18" s="2897">
        <f t="shared" ref="F18" si="144">F19*(1+Q18)</f>
        <v>288.68830000000003</v>
      </c>
      <c r="G18" s="3588"/>
      <c r="H18" s="2898">
        <v>1</v>
      </c>
      <c r="I18" s="2898">
        <v>1.7</v>
      </c>
      <c r="J18" s="2898">
        <v>1.92</v>
      </c>
      <c r="K18" s="2898">
        <v>1.64</v>
      </c>
      <c r="L18" s="2904">
        <v>2.0099999999999998</v>
      </c>
      <c r="M18" s="2884"/>
      <c r="N18" s="2899">
        <f t="shared" ref="N18:N23" si="145">I18/100</f>
        <v>1.7000000000000001E-2</v>
      </c>
      <c r="O18" s="2885">
        <f t="shared" ref="O18" si="146">J18/100</f>
        <v>1.9199999999999998E-2</v>
      </c>
      <c r="P18" s="2885">
        <f t="shared" ref="P18" si="147">K18/100</f>
        <v>1.6399999999999998E-2</v>
      </c>
      <c r="Q18" s="2885">
        <f t="shared" ref="Q18" si="148">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ROUND(SUMPRODUCT(PRODUCT(1+N18:N$33)),4)</f>
        <v>1.4517</v>
      </c>
      <c r="Y18" s="2884">
        <f>ROUND(SUMPRODUCT(PRODUCT(1+O18:O$33)),4)</f>
        <v>1.2928999999999999</v>
      </c>
      <c r="Z18" s="2884">
        <f t="shared" ref="Z18" si="149">Y18</f>
        <v>1.2928999999999999</v>
      </c>
      <c r="AA18" s="2884">
        <f>ROUND(SUMPRODUCT(PRODUCT(1+P18:P$33)),4)</f>
        <v>1.5068999999999999</v>
      </c>
      <c r="AB18" s="2884">
        <f>ROUND(SUMPRODUCT(PRODUCT(1+Q18:Q$33)),4)</f>
        <v>1.2557</v>
      </c>
      <c r="AC18" s="2884"/>
      <c r="AD18" s="2885">
        <f>ROUND(AVERAGE(I18:I$34)/100,4)</f>
        <v>2.4E-2</v>
      </c>
      <c r="AE18" s="2885">
        <f>ROUND(AVERAGE(J18:J$34)/100,4)</f>
        <v>1.66E-2</v>
      </c>
      <c r="AF18" s="2885">
        <f t="shared" ref="AF18" si="150">AE18</f>
        <v>1.66E-2</v>
      </c>
      <c r="AG18" s="2885">
        <f>ROUND(AVERAGE(K18:K$34)/100,4)</f>
        <v>2.6499999999999999E-2</v>
      </c>
      <c r="AH18" s="2885">
        <f>ROUND(AVERAGE(L18:L$34)/100,4)</f>
        <v>1.43E-2</v>
      </c>
    </row>
    <row r="19" spans="1:34">
      <c r="A19" s="2896" t="s">
        <v>2928</v>
      </c>
      <c r="B19" s="2913">
        <v>439</v>
      </c>
      <c r="C19" s="2913">
        <v>327</v>
      </c>
      <c r="D19" s="2913">
        <f t="shared" si="142"/>
        <v>327</v>
      </c>
      <c r="E19" s="2913">
        <v>627</v>
      </c>
      <c r="F19" s="2914">
        <v>283</v>
      </c>
      <c r="G19" s="3587">
        <v>2017</v>
      </c>
      <c r="H19" s="2905">
        <v>4</v>
      </c>
      <c r="I19" s="2905">
        <v>1.71</v>
      </c>
      <c r="J19" s="2905">
        <v>1.78</v>
      </c>
      <c r="K19" s="2905">
        <v>1.71</v>
      </c>
      <c r="L19" s="2906">
        <v>1.43</v>
      </c>
      <c r="N19" s="2915">
        <f t="shared" si="145"/>
        <v>1.7100000000000001E-2</v>
      </c>
      <c r="O19" s="2916">
        <f t="shared" ref="O19" si="151">J19/100</f>
        <v>1.78E-2</v>
      </c>
      <c r="P19" s="2916">
        <f t="shared" ref="P19" si="152">K19/100</f>
        <v>1.7100000000000001E-2</v>
      </c>
      <c r="Q19" s="2916">
        <f t="shared" ref="Q19" si="153">L19/100</f>
        <v>1.43E-2</v>
      </c>
      <c r="R19" s="2900"/>
      <c r="S19" s="2909"/>
      <c r="T19" s="2910"/>
      <c r="U19" s="2910"/>
      <c r="V19" s="2910"/>
      <c r="X19" s="2884">
        <f>ROUND(SUMPRODUCT(PRODUCT(1+N19:N$33)),4)</f>
        <v>1.4274</v>
      </c>
      <c r="Y19" s="2884">
        <f>ROUND(SUMPRODUCT(PRODUCT(1+O19:O$33)),4)</f>
        <v>1.2685</v>
      </c>
      <c r="Z19" s="2884">
        <f t="shared" si="0"/>
        <v>1.2685</v>
      </c>
      <c r="AA19" s="2884">
        <f>ROUND(SUMPRODUCT(PRODUCT(1+P19:P$33)),4)</f>
        <v>1.4825999999999999</v>
      </c>
      <c r="AB19" s="2884">
        <f>ROUND(SUMPRODUCT(PRODUCT(1+Q19:Q$33)),4)</f>
        <v>1.2309000000000001</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2931</v>
      </c>
      <c r="B20" s="2897">
        <f t="shared" ref="B20:C22" si="154">B21*(1+N20)</f>
        <v>431.80730811680002</v>
      </c>
      <c r="C20" s="2897">
        <f t="shared" si="154"/>
        <v>320.57880516480003</v>
      </c>
      <c r="D20" s="2897">
        <f t="shared" si="142"/>
        <v>320.57880516480003</v>
      </c>
      <c r="E20" s="2897">
        <f t="shared" ref="E20:F22" si="155">E21*(1+P20)</f>
        <v>615.96110553196797</v>
      </c>
      <c r="F20" s="2897">
        <f t="shared" si="155"/>
        <v>279.46777300108801</v>
      </c>
      <c r="G20" s="3582"/>
      <c r="H20" s="2898">
        <v>3</v>
      </c>
      <c r="I20" s="2898">
        <v>2.98</v>
      </c>
      <c r="J20" s="2898">
        <v>2.11</v>
      </c>
      <c r="K20" s="2898">
        <v>3.24</v>
      </c>
      <c r="L20" s="2904">
        <v>1.72</v>
      </c>
      <c r="M20" s="2884"/>
      <c r="N20" s="2899">
        <f t="shared" si="145"/>
        <v>2.98E-2</v>
      </c>
      <c r="O20" s="2917">
        <f t="shared" ref="O20:O21" si="156">J20/100</f>
        <v>2.1099999999999997E-2</v>
      </c>
      <c r="P20" s="2917">
        <f t="shared" ref="P20:P21" si="157">K20/100</f>
        <v>3.2400000000000005E-2</v>
      </c>
      <c r="Q20" s="2917">
        <f t="shared" ref="Q20:Q21" si="158">L20/100</f>
        <v>1.72E-2</v>
      </c>
      <c r="R20" s="2900"/>
      <c r="S20" s="2899"/>
      <c r="T20" s="2885"/>
      <c r="U20" s="2885"/>
      <c r="V20" s="2885"/>
      <c r="W20" s="2884"/>
      <c r="X20" s="2884">
        <f>ROUND(SUMPRODUCT(PRODUCT(1+N20:N$33)),4)</f>
        <v>1.4034</v>
      </c>
      <c r="Y20" s="2884">
        <f>ROUND(SUMPRODUCT(PRODUCT(1+O20:O$33)),4)</f>
        <v>1.2463</v>
      </c>
      <c r="Z20" s="2884">
        <f t="shared" si="0"/>
        <v>1.2463</v>
      </c>
      <c r="AA20" s="2884">
        <f>ROUND(SUMPRODUCT(PRODUCT(1+P20:P$33)),4)</f>
        <v>1.4577</v>
      </c>
      <c r="AB20" s="2884">
        <f>ROUND(SUMPRODUCT(PRODUCT(1+Q20:Q$33)),4)</f>
        <v>1.2136</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2561</v>
      </c>
      <c r="B21" s="2897">
        <f t="shared" si="154"/>
        <v>419.31181600000002</v>
      </c>
      <c r="C21" s="2897">
        <f t="shared" si="154"/>
        <v>313.95436800000004</v>
      </c>
      <c r="D21" s="2897">
        <f t="shared" si="142"/>
        <v>313.95436800000004</v>
      </c>
      <c r="E21" s="2897">
        <f t="shared" si="155"/>
        <v>596.63028431999999</v>
      </c>
      <c r="F21" s="2897">
        <f t="shared" si="155"/>
        <v>274.74220703999998</v>
      </c>
      <c r="G21" s="3582"/>
      <c r="H21" s="2911">
        <v>2</v>
      </c>
      <c r="I21" s="2911">
        <v>3.4</v>
      </c>
      <c r="J21" s="2911">
        <v>2</v>
      </c>
      <c r="K21" s="2911">
        <v>3.82</v>
      </c>
      <c r="L21" s="2912">
        <v>1.68</v>
      </c>
      <c r="N21" s="2899">
        <f t="shared" si="145"/>
        <v>3.4000000000000002E-2</v>
      </c>
      <c r="O21" s="2917">
        <f t="shared" si="156"/>
        <v>0.02</v>
      </c>
      <c r="P21" s="2917">
        <f t="shared" si="157"/>
        <v>3.8199999999999998E-2</v>
      </c>
      <c r="Q21" s="2917">
        <f t="shared" si="158"/>
        <v>1.6799999999999999E-2</v>
      </c>
      <c r="S21" s="2899"/>
      <c r="T21" s="2885"/>
      <c r="U21" s="2885"/>
      <c r="V21" s="2885"/>
      <c r="X21" s="2884">
        <f>ROUND(SUMPRODUCT(PRODUCT(1+N21:N$33)),4)</f>
        <v>1.3628</v>
      </c>
      <c r="Y21" s="2884">
        <f>ROUND(SUMPRODUCT(PRODUCT(1+O21:O$33)),4)</f>
        <v>1.2205999999999999</v>
      </c>
      <c r="Z21" s="2884">
        <f t="shared" si="0"/>
        <v>1.2205999999999999</v>
      </c>
      <c r="AA21" s="2884">
        <f>ROUND(SUMPRODUCT(PRODUCT(1+P21:P$33)),4)</f>
        <v>1.4118999999999999</v>
      </c>
      <c r="AB21" s="2884">
        <f>ROUND(SUMPRODUCT(PRODUCT(1+Q21:Q$33)),4)</f>
        <v>1.1930000000000001</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2562</v>
      </c>
      <c r="B22" s="2897">
        <f t="shared" si="154"/>
        <v>405.524</v>
      </c>
      <c r="C22" s="2897">
        <f t="shared" si="154"/>
        <v>307.79840000000002</v>
      </c>
      <c r="D22" s="2897">
        <f t="shared" si="142"/>
        <v>307.79840000000002</v>
      </c>
      <c r="E22" s="2897">
        <f t="shared" si="155"/>
        <v>574.67759999999998</v>
      </c>
      <c r="F22" s="2897">
        <f t="shared" si="155"/>
        <v>270.20280000000002</v>
      </c>
      <c r="G22" s="3588"/>
      <c r="H22" s="2898">
        <v>1</v>
      </c>
      <c r="I22" s="2898">
        <v>3.45</v>
      </c>
      <c r="J22" s="2898">
        <v>1.92</v>
      </c>
      <c r="K22" s="2898">
        <v>3.92</v>
      </c>
      <c r="L22" s="2904">
        <v>1.58</v>
      </c>
      <c r="M22" s="2884"/>
      <c r="N22" s="2901">
        <f t="shared" si="145"/>
        <v>3.4500000000000003E-2</v>
      </c>
      <c r="O22" s="2902">
        <f t="shared" ref="O22" si="159">J22/100</f>
        <v>1.9199999999999998E-2</v>
      </c>
      <c r="P22" s="2902">
        <f t="shared" ref="P22" si="160">K22/100</f>
        <v>3.9199999999999999E-2</v>
      </c>
      <c r="Q22" s="2902">
        <f t="shared" ref="Q22" si="161">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ROUND(SUMPRODUCT(PRODUCT(1+N22:N$33)),4)</f>
        <v>1.3180000000000001</v>
      </c>
      <c r="Y22" s="2884">
        <f>ROUND(SUMPRODUCT(PRODUCT(1+O22:O$33)),4)</f>
        <v>1.1966000000000001</v>
      </c>
      <c r="Z22" s="2884">
        <f t="shared" si="0"/>
        <v>1.1966000000000001</v>
      </c>
      <c r="AA22" s="2884">
        <f>ROUND(SUMPRODUCT(PRODUCT(1+P22:P$33)),4)</f>
        <v>1.36</v>
      </c>
      <c r="AB22" s="2884">
        <f>ROUND(SUMPRODUCT(PRODUCT(1+Q22:Q$33)),4)</f>
        <v>1.1733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961</v>
      </c>
      <c r="B23" s="2918">
        <v>392</v>
      </c>
      <c r="C23" s="2918">
        <v>302</v>
      </c>
      <c r="D23" s="2918">
        <f t="shared" si="142"/>
        <v>302</v>
      </c>
      <c r="E23" s="2918">
        <v>553</v>
      </c>
      <c r="F23" s="2919">
        <v>266</v>
      </c>
      <c r="G23" s="3587">
        <v>2016</v>
      </c>
      <c r="H23" s="2905">
        <v>4</v>
      </c>
      <c r="I23" s="2905">
        <v>4.5599999999999996</v>
      </c>
      <c r="J23" s="2905">
        <v>2.15</v>
      </c>
      <c r="K23" s="2905">
        <v>5.32</v>
      </c>
      <c r="L23" s="2906">
        <v>1.57</v>
      </c>
      <c r="N23" s="2899">
        <f t="shared" si="145"/>
        <v>4.5599999999999995E-2</v>
      </c>
      <c r="O23" s="2885">
        <f t="shared" ref="O23:Q38" si="162">J23/100</f>
        <v>2.1499999999999998E-2</v>
      </c>
      <c r="P23" s="2885">
        <f t="shared" si="162"/>
        <v>5.3200000000000004E-2</v>
      </c>
      <c r="Q23" s="2885">
        <f t="shared" si="162"/>
        <v>1.5700000000000002E-2</v>
      </c>
      <c r="R23" s="2900"/>
      <c r="S23" s="2909"/>
      <c r="T23" s="2910"/>
      <c r="U23" s="2910"/>
      <c r="V23" s="2910"/>
      <c r="X23" s="2884">
        <f>ROUND(SUMPRODUCT(PRODUCT(1+N23:N$33)),4)</f>
        <v>1.274</v>
      </c>
      <c r="Y23" s="2884">
        <f>ROUND(SUMPRODUCT(PRODUCT(1+O23:O$33)),4)</f>
        <v>1.1740999999999999</v>
      </c>
      <c r="Z23" s="2884">
        <f t="shared" si="0"/>
        <v>1.1740999999999999</v>
      </c>
      <c r="AA23" s="2884">
        <f>ROUND(SUMPRODUCT(PRODUCT(1+P23:P$33)),4)</f>
        <v>1.3087</v>
      </c>
      <c r="AB23" s="2884">
        <f>ROUND(SUMPRODUCT(PRODUCT(1+Q23:Q$33)),4)</f>
        <v>1.1551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960</v>
      </c>
      <c r="B24" s="2897">
        <f t="shared" ref="B24:C26" si="163">B23/(1+N23)</f>
        <v>374.90436113236416</v>
      </c>
      <c r="C24" s="2897">
        <f t="shared" si="163"/>
        <v>295.64366128242779</v>
      </c>
      <c r="D24" s="2897">
        <f t="shared" ref="D24:D83" si="164">C24</f>
        <v>295.64366128242779</v>
      </c>
      <c r="E24" s="2897">
        <f t="shared" ref="E24:F26" si="165">E23/(1+P23)</f>
        <v>525.06646410938095</v>
      </c>
      <c r="F24" s="2897">
        <f t="shared" si="165"/>
        <v>261.88835286009646</v>
      </c>
      <c r="G24" s="3582"/>
      <c r="H24" s="2898">
        <v>3</v>
      </c>
      <c r="I24" s="2898">
        <v>4.12</v>
      </c>
      <c r="J24" s="2898">
        <v>2</v>
      </c>
      <c r="K24" s="2898">
        <v>4.79</v>
      </c>
      <c r="L24" s="2904">
        <v>1.97</v>
      </c>
      <c r="N24" s="2899">
        <f t="shared" ref="N24:Q58" si="166">I24/100</f>
        <v>4.1200000000000001E-2</v>
      </c>
      <c r="O24" s="2885">
        <f t="shared" si="162"/>
        <v>0.02</v>
      </c>
      <c r="P24" s="2885">
        <f t="shared" si="162"/>
        <v>4.7899999999999998E-2</v>
      </c>
      <c r="Q24" s="2885">
        <f t="shared" si="162"/>
        <v>1.9699999999999999E-2</v>
      </c>
      <c r="R24" s="2900"/>
      <c r="S24" s="2899"/>
      <c r="T24" s="2885"/>
      <c r="U24" s="2885"/>
      <c r="V24" s="2885"/>
      <c r="X24" s="2884">
        <f>ROUND(SUMPRODUCT(PRODUCT(1+N24:N$33)),4)</f>
        <v>1.2184999999999999</v>
      </c>
      <c r="Y24" s="2884">
        <f>ROUND(SUMPRODUCT(PRODUCT(1+O24:O$33)),4)</f>
        <v>1.1494</v>
      </c>
      <c r="Z24" s="2884">
        <f t="shared" si="0"/>
        <v>1.1494</v>
      </c>
      <c r="AA24" s="2884">
        <f>ROUND(SUMPRODUCT(PRODUCT(1+P24:P$33)),4)</f>
        <v>1.2425999999999999</v>
      </c>
      <c r="AB24" s="2884">
        <f>ROUND(SUMPRODUCT(PRODUCT(1+Q24:Q$33)),4)</f>
        <v>1.1372</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950</v>
      </c>
      <c r="B25" s="2897">
        <f t="shared" si="163"/>
        <v>360.06949782209392</v>
      </c>
      <c r="C25" s="2897">
        <f t="shared" si="163"/>
        <v>289.84672674747821</v>
      </c>
      <c r="D25" s="2897">
        <f t="shared" si="164"/>
        <v>289.84672674747821</v>
      </c>
      <c r="E25" s="2897">
        <f t="shared" si="165"/>
        <v>501.06543001181495</v>
      </c>
      <c r="F25" s="2897">
        <f t="shared" si="165"/>
        <v>256.82882500744967</v>
      </c>
      <c r="G25" s="3582"/>
      <c r="H25" s="2911">
        <v>2</v>
      </c>
      <c r="I25" s="2911">
        <v>3.85</v>
      </c>
      <c r="J25" s="2911">
        <v>1.95</v>
      </c>
      <c r="K25" s="2911">
        <v>4.4800000000000004</v>
      </c>
      <c r="L25" s="2912">
        <v>1.41</v>
      </c>
      <c r="N25" s="2899">
        <f t="shared" si="166"/>
        <v>3.85E-2</v>
      </c>
      <c r="O25" s="2885">
        <f t="shared" si="162"/>
        <v>1.95E-2</v>
      </c>
      <c r="P25" s="2885">
        <f t="shared" si="162"/>
        <v>4.4800000000000006E-2</v>
      </c>
      <c r="Q25" s="2885">
        <f t="shared" si="162"/>
        <v>1.41E-2</v>
      </c>
      <c r="R25" s="2900"/>
      <c r="S25" s="2899"/>
      <c r="T25" s="2885"/>
      <c r="U25" s="2885"/>
      <c r="V25" s="2885"/>
      <c r="X25" s="2884">
        <f>ROUND(SUMPRODUCT(PRODUCT(1+N25:N$33)),4)</f>
        <v>1.1702999999999999</v>
      </c>
      <c r="Y25" s="2884">
        <f>ROUND(SUMPRODUCT(PRODUCT(1+O25:O$33)),4)</f>
        <v>1.1269</v>
      </c>
      <c r="Z25" s="2884">
        <f t="shared" si="0"/>
        <v>1.1269</v>
      </c>
      <c r="AA25" s="2884">
        <f>ROUND(SUMPRODUCT(PRODUCT(1+P25:P$33)),4)</f>
        <v>1.1858</v>
      </c>
      <c r="AB25" s="2884">
        <f>ROUND(SUMPRODUCT(PRODUCT(1+Q25:Q$33)),4)</f>
        <v>1.1152</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959</v>
      </c>
      <c r="B26" s="2897">
        <f t="shared" si="163"/>
        <v>346.720748986128</v>
      </c>
      <c r="C26" s="2897">
        <f t="shared" si="163"/>
        <v>284.30282172386285</v>
      </c>
      <c r="D26" s="2897">
        <f t="shared" si="164"/>
        <v>284.30282172386285</v>
      </c>
      <c r="E26" s="2897">
        <f t="shared" si="165"/>
        <v>479.58023546306947</v>
      </c>
      <c r="F26" s="2897">
        <f t="shared" si="165"/>
        <v>253.25788877571213</v>
      </c>
      <c r="G26" s="3583"/>
      <c r="H26" s="2898">
        <v>1</v>
      </c>
      <c r="I26" s="2898">
        <v>4.09</v>
      </c>
      <c r="J26" s="2898">
        <v>2.93</v>
      </c>
      <c r="K26" s="2898">
        <v>4.54</v>
      </c>
      <c r="L26" s="2904">
        <v>1.48</v>
      </c>
      <c r="N26" s="2899">
        <f t="shared" si="166"/>
        <v>4.0899999999999999E-2</v>
      </c>
      <c r="O26" s="2885">
        <f t="shared" si="162"/>
        <v>2.9300000000000003E-2</v>
      </c>
      <c r="P26" s="2885">
        <f t="shared" si="162"/>
        <v>4.5400000000000003E-2</v>
      </c>
      <c r="Q26" s="2885">
        <f t="shared" si="162"/>
        <v>1.4800000000000001E-2</v>
      </c>
      <c r="R26" s="2900"/>
      <c r="S26" s="2901">
        <f>B26/B27-1</f>
        <v>4.1203450408792808E-2</v>
      </c>
      <c r="T26" s="2902">
        <f>C26/C27-1</f>
        <v>2.6363977342465095E-2</v>
      </c>
      <c r="U26" s="2902">
        <f>E26/E27-1</f>
        <v>4.4837114298626357E-2</v>
      </c>
      <c r="V26" s="2902">
        <f>F26/F27-1</f>
        <v>1.7099954922538574E-2</v>
      </c>
      <c r="X26" s="2884">
        <f>ROUND(SUMPRODUCT(PRODUCT(1+N26:N$33)),4)</f>
        <v>1.1269</v>
      </c>
      <c r="Y26" s="2884">
        <f>ROUND(SUMPRODUCT(PRODUCT(1+O26:O$33)),4)</f>
        <v>1.1052999999999999</v>
      </c>
      <c r="Z26" s="2884">
        <f t="shared" si="0"/>
        <v>1.1052999999999999</v>
      </c>
      <c r="AA26" s="2884">
        <f>ROUND(SUMPRODUCT(PRODUCT(1+P26:P$33)),4)</f>
        <v>1.1349</v>
      </c>
      <c r="AB26" s="2884">
        <f>ROUND(SUMPRODUCT(PRODUCT(1+Q26:Q$33)),4)</f>
        <v>1.0996999999999999</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958</v>
      </c>
      <c r="B27" s="2918">
        <v>333</v>
      </c>
      <c r="C27" s="2918">
        <v>277</v>
      </c>
      <c r="D27" s="2918">
        <f t="shared" si="164"/>
        <v>277</v>
      </c>
      <c r="E27" s="2918">
        <v>459</v>
      </c>
      <c r="F27" s="2919">
        <v>249</v>
      </c>
      <c r="G27" s="3581">
        <v>2015</v>
      </c>
      <c r="H27" s="2920">
        <v>4</v>
      </c>
      <c r="I27" s="2920">
        <v>1.63</v>
      </c>
      <c r="J27" s="2920">
        <v>1.1100000000000001</v>
      </c>
      <c r="K27" s="2920">
        <v>1.77</v>
      </c>
      <c r="L27" s="2921">
        <v>1.89</v>
      </c>
      <c r="N27" s="2915">
        <f t="shared" si="166"/>
        <v>1.6299999999999999E-2</v>
      </c>
      <c r="O27" s="2916">
        <f t="shared" si="162"/>
        <v>1.11E-2</v>
      </c>
      <c r="P27" s="2916">
        <f t="shared" si="162"/>
        <v>1.77E-2</v>
      </c>
      <c r="Q27" s="2916">
        <f t="shared" si="162"/>
        <v>1.89E-2</v>
      </c>
      <c r="R27" s="2900"/>
      <c r="X27" s="2884">
        <f>ROUND(SUMPRODUCT(PRODUCT(1+N27:N$33)),4)</f>
        <v>1.0826</v>
      </c>
      <c r="Y27" s="2884">
        <f>ROUND(SUMPRODUCT(PRODUCT(1+O27:O$33)),4)</f>
        <v>1.0738000000000001</v>
      </c>
      <c r="Z27" s="2884">
        <f t="shared" si="0"/>
        <v>1.0738000000000001</v>
      </c>
      <c r="AA27" s="2884">
        <f>ROUND(SUMPRODUCT(PRODUCT(1+P27:P$33)),4)</f>
        <v>1.0855999999999999</v>
      </c>
      <c r="AB27" s="2884">
        <f>ROUND(SUMPRODUCT(PRODUCT(1+Q27:Q$33)),4)</f>
        <v>1.0837000000000001</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957</v>
      </c>
      <c r="B28" s="2897">
        <f t="shared" ref="B28:C30" si="167">B27/(1+N27)</f>
        <v>327.65915576109415</v>
      </c>
      <c r="C28" s="2897">
        <f t="shared" si="167"/>
        <v>273.95905449510434</v>
      </c>
      <c r="D28" s="2897">
        <f t="shared" si="164"/>
        <v>273.95905449510434</v>
      </c>
      <c r="E28" s="2897">
        <f t="shared" ref="E28:F30" si="168">E27/(1+P27)</f>
        <v>451.01699911565294</v>
      </c>
      <c r="F28" s="2897">
        <f t="shared" si="168"/>
        <v>244.38119540681129</v>
      </c>
      <c r="G28" s="3582"/>
      <c r="H28" s="2923">
        <v>3</v>
      </c>
      <c r="I28" s="2923">
        <v>1.65</v>
      </c>
      <c r="J28" s="2923">
        <v>0.92</v>
      </c>
      <c r="K28" s="2923">
        <v>1.88</v>
      </c>
      <c r="L28" s="2924">
        <v>1.26</v>
      </c>
      <c r="N28" s="2899">
        <f t="shared" si="166"/>
        <v>1.6500000000000001E-2</v>
      </c>
      <c r="O28" s="2917">
        <f t="shared" si="162"/>
        <v>9.1999999999999998E-3</v>
      </c>
      <c r="P28" s="2917">
        <f t="shared" si="162"/>
        <v>1.8799999999999997E-2</v>
      </c>
      <c r="Q28" s="2917">
        <f t="shared" si="162"/>
        <v>1.26E-2</v>
      </c>
      <c r="R28" s="2900"/>
      <c r="S28" s="2899"/>
      <c r="T28" s="2885"/>
      <c r="U28" s="2885"/>
      <c r="V28" s="2885"/>
      <c r="X28" s="2884">
        <f>ROUND(SUMPRODUCT(PRODUCT(1+N28:N$33)),4)</f>
        <v>1.0651999999999999</v>
      </c>
      <c r="Y28" s="2884">
        <f>ROUND(SUMPRODUCT(PRODUCT(1+O28:O$33)),4)</f>
        <v>1.0621</v>
      </c>
      <c r="Z28" s="2884">
        <f t="shared" si="0"/>
        <v>1.0621</v>
      </c>
      <c r="AA28" s="2884">
        <f>ROUND(SUMPRODUCT(PRODUCT(1+P28:P$33)),4)</f>
        <v>1.0668</v>
      </c>
      <c r="AB28" s="2884">
        <f>ROUND(SUMPRODUCT(PRODUCT(1+Q28:Q$33)),4)</f>
        <v>1.0636000000000001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956</v>
      </c>
      <c r="B29" s="2897">
        <f t="shared" si="167"/>
        <v>322.34053690220776</v>
      </c>
      <c r="C29" s="2897">
        <f t="shared" si="167"/>
        <v>271.46160770422546</v>
      </c>
      <c r="D29" s="2897">
        <f t="shared" si="164"/>
        <v>271.46160770422546</v>
      </c>
      <c r="E29" s="2897">
        <f t="shared" si="168"/>
        <v>442.69434542172456</v>
      </c>
      <c r="F29" s="2897">
        <f t="shared" si="168"/>
        <v>241.34030753190925</v>
      </c>
      <c r="G29" s="3582"/>
      <c r="H29" s="2911">
        <v>2</v>
      </c>
      <c r="I29" s="2911">
        <v>0.77</v>
      </c>
      <c r="J29" s="2911">
        <v>0.69</v>
      </c>
      <c r="K29" s="2911">
        <v>0.8</v>
      </c>
      <c r="L29" s="2912">
        <v>0.88</v>
      </c>
      <c r="N29" s="2899">
        <f t="shared" si="166"/>
        <v>7.7000000000000002E-3</v>
      </c>
      <c r="O29" s="2917">
        <f t="shared" si="162"/>
        <v>6.8999999999999999E-3</v>
      </c>
      <c r="P29" s="2917">
        <f t="shared" si="162"/>
        <v>8.0000000000000002E-3</v>
      </c>
      <c r="Q29" s="2917">
        <f t="shared" si="162"/>
        <v>8.8000000000000005E-3</v>
      </c>
      <c r="R29" s="2900"/>
      <c r="S29" s="2899"/>
      <c r="T29" s="2885"/>
      <c r="U29" s="2885"/>
      <c r="V29" s="2885"/>
      <c r="X29" s="2884">
        <f>ROUND(SUMPRODUCT(PRODUCT(1+N29:N$33)),4)</f>
        <v>1.048</v>
      </c>
      <c r="Y29" s="2884">
        <f>ROUND(SUMPRODUCT(PRODUCT(1+O29:O$33)),4)</f>
        <v>1.0524</v>
      </c>
      <c r="Z29" s="2884">
        <f t="shared" si="0"/>
        <v>1.0524</v>
      </c>
      <c r="AA29" s="2884">
        <f>ROUND(SUMPRODUCT(PRODUCT(1+P29:P$33)),4)</f>
        <v>1.0470999999999999</v>
      </c>
      <c r="AB29" s="2884">
        <f>ROUND(SUMPRODUCT(PRODUCT(1+Q29:Q$33)),4)</f>
        <v>1.0504</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955</v>
      </c>
      <c r="B30" s="2897">
        <f t="shared" si="167"/>
        <v>319.87748030386797</v>
      </c>
      <c r="C30" s="2897">
        <f t="shared" si="167"/>
        <v>269.60135833173649</v>
      </c>
      <c r="D30" s="2897">
        <f t="shared" si="164"/>
        <v>269.60135833173649</v>
      </c>
      <c r="E30" s="2897">
        <f t="shared" si="168"/>
        <v>439.18089823583784</v>
      </c>
      <c r="F30" s="2897">
        <f t="shared" si="168"/>
        <v>239.23503918706311</v>
      </c>
      <c r="G30" s="3583"/>
      <c r="H30" s="2898">
        <v>1</v>
      </c>
      <c r="I30" s="2898">
        <v>0.51</v>
      </c>
      <c r="J30" s="2898">
        <v>0.54</v>
      </c>
      <c r="K30" s="2898">
        <v>0.48</v>
      </c>
      <c r="L30" s="2904">
        <v>0.93</v>
      </c>
      <c r="N30" s="2901">
        <f t="shared" si="166"/>
        <v>5.1000000000000004E-3</v>
      </c>
      <c r="O30" s="2902">
        <f t="shared" si="162"/>
        <v>5.4000000000000003E-3</v>
      </c>
      <c r="P30" s="2902">
        <f t="shared" si="162"/>
        <v>4.7999999999999996E-3</v>
      </c>
      <c r="Q30" s="2902">
        <f t="shared" si="162"/>
        <v>9.300000000000001E-3</v>
      </c>
      <c r="R30" s="2900"/>
      <c r="S30" s="2901">
        <f>B30/B31-1</f>
        <v>5.9040261127922822E-3</v>
      </c>
      <c r="T30" s="2902">
        <f>C30/C31-1</f>
        <v>5.9752176557332781E-3</v>
      </c>
      <c r="U30" s="2902">
        <f>E30/E31-1</f>
        <v>4.9906138119859556E-3</v>
      </c>
      <c r="V30" s="2902">
        <f>F30/F31-1</f>
        <v>9.4305450930933787E-3</v>
      </c>
      <c r="X30" s="2884">
        <f>ROUND(SUMPRODUCT(PRODUCT(1+N30:N$33)),4)</f>
        <v>1.0399</v>
      </c>
      <c r="Y30" s="2884">
        <f>ROUND(SUMPRODUCT(PRODUCT(1+O30:O$33)),4)</f>
        <v>1.0451999999999999</v>
      </c>
      <c r="Z30" s="2884">
        <f t="shared" si="0"/>
        <v>1.0451999999999999</v>
      </c>
      <c r="AA30" s="2884">
        <f>ROUND(SUMPRODUCT(PRODUCT(1+P30:P$33)),4)</f>
        <v>1.0387999999999999</v>
      </c>
      <c r="AB30" s="2884">
        <f>ROUND(SUMPRODUCT(PRODUCT(1+Q30:Q$33)),4)</f>
        <v>1.0411999999999999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954</v>
      </c>
      <c r="B31" s="2925">
        <v>318</v>
      </c>
      <c r="C31" s="2925">
        <v>268</v>
      </c>
      <c r="D31" s="2925">
        <f t="shared" si="164"/>
        <v>268</v>
      </c>
      <c r="E31" s="2925">
        <v>437</v>
      </c>
      <c r="F31" s="2926">
        <v>237</v>
      </c>
      <c r="G31" s="3581">
        <v>2014</v>
      </c>
      <c r="H31" s="2920">
        <v>4</v>
      </c>
      <c r="I31" s="2920">
        <v>0.21</v>
      </c>
      <c r="J31" s="2920">
        <v>0.41</v>
      </c>
      <c r="K31" s="2920">
        <v>0.12</v>
      </c>
      <c r="L31" s="2921">
        <v>0.89</v>
      </c>
      <c r="N31" s="2899">
        <f t="shared" si="166"/>
        <v>2.0999999999999999E-3</v>
      </c>
      <c r="O31" s="2885">
        <f t="shared" si="162"/>
        <v>4.0999999999999995E-3</v>
      </c>
      <c r="P31" s="2885">
        <f t="shared" si="162"/>
        <v>1.1999999999999999E-3</v>
      </c>
      <c r="Q31" s="2885">
        <f t="shared" si="162"/>
        <v>8.8999999999999999E-3</v>
      </c>
      <c r="R31" s="2900"/>
      <c r="S31" s="2909"/>
      <c r="T31" s="2910"/>
      <c r="U31" s="2910"/>
      <c r="V31" s="2910"/>
      <c r="X31" s="2884">
        <f>ROUND(SUMPRODUCT(PRODUCT(1+N31:N$33)),4)</f>
        <v>1.0347</v>
      </c>
      <c r="Y31" s="2884">
        <f>ROUND(SUMPRODUCT(PRODUCT(1+O31:O$33)),4)</f>
        <v>1.0395000000000001</v>
      </c>
      <c r="Z31" s="2884">
        <f t="shared" si="0"/>
        <v>1.0395000000000001</v>
      </c>
      <c r="AA31" s="2884">
        <f>ROUND(SUMPRODUCT(PRODUCT(1+P31:P$33)),4)</f>
        <v>1.0338000000000001</v>
      </c>
      <c r="AB31" s="2884">
        <f>ROUND(SUMPRODUCT(PRODUCT(1+Q31:Q$33)),4)</f>
        <v>1.0316000000000001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953</v>
      </c>
      <c r="B32" s="2897">
        <f t="shared" ref="B32:C34" si="169">B31/(1+N31)</f>
        <v>317.33359944117353</v>
      </c>
      <c r="C32" s="2897">
        <f t="shared" si="169"/>
        <v>266.90568668459315</v>
      </c>
      <c r="D32" s="2897">
        <f t="shared" si="164"/>
        <v>266.90568668459315</v>
      </c>
      <c r="E32" s="2897">
        <f t="shared" ref="E32:F34" si="170">E31/(1+P31)</f>
        <v>436.47622852576905</v>
      </c>
      <c r="F32" s="2897">
        <f t="shared" si="170"/>
        <v>234.90930716622066</v>
      </c>
      <c r="G32" s="3582"/>
      <c r="H32" s="2927">
        <v>3</v>
      </c>
      <c r="I32" s="2927">
        <v>0.83</v>
      </c>
      <c r="J32" s="2927">
        <v>1.47</v>
      </c>
      <c r="K32" s="2927">
        <v>0.65</v>
      </c>
      <c r="L32" s="2928">
        <v>0.72</v>
      </c>
      <c r="N32" s="2899">
        <f t="shared" si="166"/>
        <v>8.3000000000000001E-3</v>
      </c>
      <c r="O32" s="2885">
        <f t="shared" si="162"/>
        <v>1.47E-2</v>
      </c>
      <c r="P32" s="2885">
        <f t="shared" si="162"/>
        <v>6.5000000000000006E-3</v>
      </c>
      <c r="Q32" s="2885">
        <f t="shared" si="162"/>
        <v>7.1999999999999998E-3</v>
      </c>
      <c r="R32" s="2900"/>
      <c r="S32" s="2899"/>
      <c r="T32" s="2885"/>
      <c r="U32" s="2885"/>
      <c r="V32" s="2885"/>
      <c r="X32" s="2884">
        <f>ROUND(SUMPRODUCT(PRODUCT(1+N32:N$33)),4)</f>
        <v>1.0325</v>
      </c>
      <c r="Y32" s="2884">
        <f>ROUND(SUMPRODUCT(PRODUCT(1+O32:O$33)),4)</f>
        <v>1.0353000000000001</v>
      </c>
      <c r="Z32" s="2884">
        <f t="shared" ref="Z32:Z33" si="171">Y32</f>
        <v>1.0353000000000001</v>
      </c>
      <c r="AA32" s="2884">
        <f>ROUND(SUMPRODUCT(PRODUCT(1+P32:P$33)),4)</f>
        <v>1.0326</v>
      </c>
      <c r="AB32" s="2884">
        <f>ROUND(SUMPRODUCT(PRODUCT(1+Q32:Q$33)),4)</f>
        <v>1.0225</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952</v>
      </c>
      <c r="B33" s="2897">
        <f t="shared" si="169"/>
        <v>314.72141172386546</v>
      </c>
      <c r="C33" s="2897">
        <f t="shared" si="169"/>
        <v>263.03901319069001</v>
      </c>
      <c r="D33" s="2897">
        <f t="shared" si="164"/>
        <v>263.03901319069001</v>
      </c>
      <c r="E33" s="2897">
        <f t="shared" si="170"/>
        <v>433.65745506782821</v>
      </c>
      <c r="F33" s="2897">
        <f t="shared" si="170"/>
        <v>233.23005080045735</v>
      </c>
      <c r="G33" s="3582"/>
      <c r="H33" s="2920">
        <v>2</v>
      </c>
      <c r="I33" s="2920">
        <v>2.4</v>
      </c>
      <c r="J33" s="2920">
        <v>2.0299999999999998</v>
      </c>
      <c r="K33" s="2920">
        <v>2.59</v>
      </c>
      <c r="L33" s="2921">
        <v>1.52</v>
      </c>
      <c r="N33" s="2899">
        <f t="shared" si="166"/>
        <v>2.4E-2</v>
      </c>
      <c r="O33" s="2885">
        <f t="shared" si="162"/>
        <v>2.0299999999999999E-2</v>
      </c>
      <c r="P33" s="2885">
        <f t="shared" si="162"/>
        <v>2.5899999999999999E-2</v>
      </c>
      <c r="Q33" s="2885">
        <f t="shared" si="162"/>
        <v>1.52E-2</v>
      </c>
      <c r="R33" s="2900"/>
      <c r="S33" s="2899"/>
      <c r="T33" s="2885"/>
      <c r="U33" s="2885"/>
      <c r="V33" s="2885"/>
      <c r="X33" s="2884">
        <f>1+N33</f>
        <v>1.024</v>
      </c>
      <c r="Y33" s="2884">
        <f>1+O33</f>
        <v>1.0203</v>
      </c>
      <c r="Z33" s="2884">
        <f t="shared" si="171"/>
        <v>1.0203</v>
      </c>
      <c r="AA33" s="2884">
        <f>1+P33</f>
        <v>1.0259</v>
      </c>
      <c r="AB33" s="2884">
        <f>1+Q33</f>
        <v>1.0152000000000001</v>
      </c>
      <c r="AD33" s="2885">
        <f>ROUND(AVERAGE(I33:I$34)/100,4)</f>
        <v>2.69E-2</v>
      </c>
      <c r="AE33" s="2885">
        <f>ROUND(AVERAGE(J33:J$34)/100,4)</f>
        <v>2.1899999999999999E-2</v>
      </c>
      <c r="AF33" s="2885">
        <f t="shared" ref="AF33" si="172">AE33</f>
        <v>2.1899999999999999E-2</v>
      </c>
      <c r="AG33" s="2885">
        <f>ROUND(AVERAGE(K33:K$34)/100,4)</f>
        <v>2.9399999999999999E-2</v>
      </c>
      <c r="AH33" s="2885">
        <f>ROUND(AVERAGE(L33:L$34)/100,4)</f>
        <v>1.44E-2</v>
      </c>
    </row>
    <row r="34" spans="1:34" s="2933" customFormat="1" ht="13.5" thickBot="1">
      <c r="A34" s="2929" t="s">
        <v>951</v>
      </c>
      <c r="B34" s="2930">
        <f t="shared" si="169"/>
        <v>307.34512863658733</v>
      </c>
      <c r="C34" s="2930">
        <f t="shared" si="169"/>
        <v>257.80556031626975</v>
      </c>
      <c r="D34" s="2930">
        <f t="shared" si="164"/>
        <v>257.80556031626975</v>
      </c>
      <c r="E34" s="2930">
        <f t="shared" si="170"/>
        <v>422.70928459677179</v>
      </c>
      <c r="F34" s="2930">
        <f t="shared" si="170"/>
        <v>229.73803270336617</v>
      </c>
      <c r="G34" s="3583"/>
      <c r="H34" s="2931">
        <v>1</v>
      </c>
      <c r="I34" s="2931">
        <v>2.97</v>
      </c>
      <c r="J34" s="2931">
        <v>2.34</v>
      </c>
      <c r="K34" s="2931">
        <v>3.28</v>
      </c>
      <c r="L34" s="2932">
        <v>1.36</v>
      </c>
      <c r="N34" s="2934">
        <f t="shared" si="166"/>
        <v>2.9700000000000001E-2</v>
      </c>
      <c r="O34" s="2935">
        <f t="shared" si="162"/>
        <v>2.3399999999999997E-2</v>
      </c>
      <c r="P34" s="2935">
        <f t="shared" si="162"/>
        <v>3.2799999999999996E-2</v>
      </c>
      <c r="Q34" s="2935">
        <f t="shared" si="162"/>
        <v>1.3600000000000001E-2</v>
      </c>
      <c r="R34" s="2936"/>
      <c r="S34" s="2937">
        <f>B34/B35-1</f>
        <v>2.7910129219355539E-2</v>
      </c>
      <c r="T34" s="2938">
        <f>C34/C35-1</f>
        <v>2.3037937762975247E-2</v>
      </c>
      <c r="U34" s="2938">
        <f>E34/E35-1</f>
        <v>3.3519033243940788E-2</v>
      </c>
      <c r="V34" s="2938">
        <f>F34/F35-1</f>
        <v>1.2061818076502862E-2</v>
      </c>
      <c r="W34" s="2939" t="s">
        <v>2620</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2563</v>
      </c>
      <c r="B35" s="2918">
        <v>299</v>
      </c>
      <c r="C35" s="2918">
        <v>252</v>
      </c>
      <c r="D35" s="2918">
        <f t="shared" si="164"/>
        <v>252</v>
      </c>
      <c r="E35" s="2918">
        <v>409</v>
      </c>
      <c r="F35" s="2919">
        <v>227</v>
      </c>
      <c r="G35" s="3584">
        <v>2013</v>
      </c>
      <c r="H35" s="2941">
        <v>4</v>
      </c>
      <c r="I35" s="2941">
        <v>1.83</v>
      </c>
      <c r="J35" s="2941">
        <v>1.68</v>
      </c>
      <c r="K35" s="2941">
        <v>1.97</v>
      </c>
      <c r="L35" s="2942">
        <v>0.87</v>
      </c>
      <c r="N35" s="2915">
        <f t="shared" si="166"/>
        <v>1.83E-2</v>
      </c>
      <c r="O35" s="2916">
        <f t="shared" si="162"/>
        <v>1.6799999999999999E-2</v>
      </c>
      <c r="P35" s="2916">
        <f t="shared" si="162"/>
        <v>1.9699999999999999E-2</v>
      </c>
      <c r="Q35" s="2916">
        <f t="shared" si="162"/>
        <v>8.6999999999999994E-3</v>
      </c>
      <c r="R35" s="2900"/>
      <c r="S35" s="2909"/>
      <c r="T35" s="2910"/>
      <c r="U35" s="2910"/>
      <c r="V35" s="2910"/>
      <c r="X35" s="2910"/>
      <c r="Y35" s="2910"/>
      <c r="Z35" s="2910"/>
    </row>
    <row r="36" spans="1:34">
      <c r="A36" s="2896" t="s">
        <v>2564</v>
      </c>
      <c r="B36" s="2897">
        <f t="shared" ref="B36:C38" si="173">B35/(1+N35)</f>
        <v>293.62663262299913</v>
      </c>
      <c r="C36" s="2897">
        <f t="shared" si="173"/>
        <v>247.83634933123525</v>
      </c>
      <c r="D36" s="2897">
        <f t="shared" si="164"/>
        <v>247.83634933123525</v>
      </c>
      <c r="E36" s="2897">
        <f t="shared" ref="E36:F38" si="174">E35/(1+P35)</f>
        <v>401.09836226341076</v>
      </c>
      <c r="F36" s="2897">
        <f t="shared" si="174"/>
        <v>225.04213343908003</v>
      </c>
      <c r="G36" s="3585"/>
      <c r="H36" s="2923">
        <v>3</v>
      </c>
      <c r="I36" s="2923">
        <v>1.86</v>
      </c>
      <c r="J36" s="2923">
        <v>1.72</v>
      </c>
      <c r="K36" s="2923">
        <v>1.98</v>
      </c>
      <c r="L36" s="2924">
        <v>0.88</v>
      </c>
      <c r="N36" s="2899">
        <f t="shared" si="166"/>
        <v>1.8600000000000002E-2</v>
      </c>
      <c r="O36" s="2917">
        <f t="shared" si="162"/>
        <v>1.72E-2</v>
      </c>
      <c r="P36" s="2917">
        <f t="shared" si="162"/>
        <v>1.9799999999999998E-2</v>
      </c>
      <c r="Q36" s="2917">
        <f t="shared" si="162"/>
        <v>8.8000000000000005E-3</v>
      </c>
      <c r="R36" s="2900"/>
      <c r="S36" s="2899"/>
      <c r="T36" s="2885"/>
      <c r="U36" s="2885"/>
      <c r="V36" s="2885"/>
    </row>
    <row r="37" spans="1:34">
      <c r="A37" s="2896" t="s">
        <v>2565</v>
      </c>
      <c r="B37" s="2897">
        <f t="shared" si="173"/>
        <v>288.2649053828776</v>
      </c>
      <c r="C37" s="2897">
        <f t="shared" si="173"/>
        <v>243.64564425013293</v>
      </c>
      <c r="D37" s="2897">
        <f t="shared" si="164"/>
        <v>243.64564425013293</v>
      </c>
      <c r="E37" s="2897">
        <f t="shared" si="174"/>
        <v>393.31080825986544</v>
      </c>
      <c r="F37" s="2897">
        <f t="shared" si="174"/>
        <v>223.07903790551154</v>
      </c>
      <c r="G37" s="3585"/>
      <c r="H37" s="2911">
        <v>2</v>
      </c>
      <c r="I37" s="2911">
        <v>2.04</v>
      </c>
      <c r="J37" s="2911">
        <v>2.33</v>
      </c>
      <c r="K37" s="2911">
        <v>2.0699999999999998</v>
      </c>
      <c r="L37" s="2912">
        <v>0.69</v>
      </c>
      <c r="N37" s="2899">
        <f t="shared" si="166"/>
        <v>2.0400000000000001E-2</v>
      </c>
      <c r="O37" s="2917">
        <f t="shared" si="162"/>
        <v>2.3300000000000001E-2</v>
      </c>
      <c r="P37" s="2917">
        <f t="shared" si="162"/>
        <v>2.07E-2</v>
      </c>
      <c r="Q37" s="2917">
        <f t="shared" si="162"/>
        <v>6.8999999999999999E-3</v>
      </c>
      <c r="R37" s="2900"/>
      <c r="S37" s="2899"/>
      <c r="T37" s="2885"/>
      <c r="U37" s="2885"/>
      <c r="V37" s="2885"/>
      <c r="X37" s="2943"/>
      <c r="Y37" s="2944"/>
    </row>
    <row r="38" spans="1:34">
      <c r="A38" s="2896" t="s">
        <v>2566</v>
      </c>
      <c r="B38" s="2897">
        <f t="shared" si="173"/>
        <v>282.50186729015837</v>
      </c>
      <c r="C38" s="2897">
        <f t="shared" si="173"/>
        <v>238.09796174155468</v>
      </c>
      <c r="D38" s="2897">
        <f t="shared" si="164"/>
        <v>238.09796174155468</v>
      </c>
      <c r="E38" s="2897">
        <f t="shared" si="174"/>
        <v>385.33438646014054</v>
      </c>
      <c r="F38" s="2897">
        <f t="shared" si="174"/>
        <v>221.55034055567739</v>
      </c>
      <c r="G38" s="3586"/>
      <c r="H38" s="2898">
        <v>1</v>
      </c>
      <c r="I38" s="2898">
        <v>1.67</v>
      </c>
      <c r="J38" s="2898">
        <v>1.31</v>
      </c>
      <c r="K38" s="2898">
        <v>1.85</v>
      </c>
      <c r="L38" s="2904">
        <v>0.96</v>
      </c>
      <c r="N38" s="2901">
        <f t="shared" si="166"/>
        <v>1.67E-2</v>
      </c>
      <c r="O38" s="2902">
        <f t="shared" si="162"/>
        <v>1.3100000000000001E-2</v>
      </c>
      <c r="P38" s="2902">
        <f t="shared" si="162"/>
        <v>1.8500000000000003E-2</v>
      </c>
      <c r="Q38" s="2902">
        <f t="shared" si="162"/>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2567</v>
      </c>
      <c r="B39" s="2946">
        <v>278</v>
      </c>
      <c r="C39" s="2946">
        <v>234</v>
      </c>
      <c r="D39" s="2946">
        <f t="shared" si="164"/>
        <v>234</v>
      </c>
      <c r="E39" s="2946">
        <v>379</v>
      </c>
      <c r="F39" s="2947">
        <v>220</v>
      </c>
      <c r="G39" s="3581">
        <v>2012</v>
      </c>
      <c r="H39" s="2920">
        <v>4</v>
      </c>
      <c r="I39" s="2920">
        <v>0.91</v>
      </c>
      <c r="J39" s="2920">
        <v>0.68</v>
      </c>
      <c r="K39" s="2920">
        <v>0.98</v>
      </c>
      <c r="L39" s="2921">
        <v>0.9</v>
      </c>
      <c r="N39" s="2899">
        <f t="shared" si="166"/>
        <v>9.1000000000000004E-3</v>
      </c>
      <c r="O39" s="2885">
        <f t="shared" si="166"/>
        <v>6.8000000000000005E-3</v>
      </c>
      <c r="P39" s="2885">
        <f t="shared" si="166"/>
        <v>9.7999999999999997E-3</v>
      </c>
      <c r="Q39" s="2885">
        <f t="shared" si="166"/>
        <v>9.0000000000000011E-3</v>
      </c>
      <c r="R39" s="2900"/>
      <c r="S39" s="2909"/>
      <c r="T39" s="2910"/>
      <c r="U39" s="2910"/>
      <c r="V39" s="2910"/>
      <c r="X39" s="2910"/>
      <c r="Y39" s="2910"/>
      <c r="Z39" s="2910"/>
    </row>
    <row r="40" spans="1:34">
      <c r="A40" s="2896" t="s">
        <v>2568</v>
      </c>
      <c r="B40" s="2897">
        <f>B39/(1+N39)</f>
        <v>275.49301357645425</v>
      </c>
      <c r="C40" s="2897">
        <f>C39/(1+O39)</f>
        <v>232.41954707985698</v>
      </c>
      <c r="D40" s="2897">
        <f t="shared" si="164"/>
        <v>232.41954707985698</v>
      </c>
      <c r="E40" s="2897">
        <f t="shared" ref="E40:F42" si="175">E39/(1+P39)</f>
        <v>375.32184591008121</v>
      </c>
      <c r="F40" s="2897">
        <f t="shared" si="175"/>
        <v>218.03766105054513</v>
      </c>
      <c r="G40" s="3582"/>
      <c r="H40" s="2923">
        <v>3</v>
      </c>
      <c r="I40" s="2923">
        <v>0.09</v>
      </c>
      <c r="J40" s="2923">
        <v>0.28999999999999998</v>
      </c>
      <c r="K40" s="2923">
        <v>-0.01</v>
      </c>
      <c r="L40" s="2924">
        <v>0.57999999999999996</v>
      </c>
      <c r="N40" s="2899">
        <f t="shared" si="166"/>
        <v>8.9999999999999998E-4</v>
      </c>
      <c r="O40" s="2885">
        <f t="shared" si="166"/>
        <v>2.8999999999999998E-3</v>
      </c>
      <c r="P40" s="2885">
        <f t="shared" si="166"/>
        <v>-1E-4</v>
      </c>
      <c r="Q40" s="2885">
        <f t="shared" si="166"/>
        <v>5.7999999999999996E-3</v>
      </c>
      <c r="R40" s="2900"/>
      <c r="S40" s="2899"/>
      <c r="T40" s="2885"/>
      <c r="U40" s="2885"/>
      <c r="V40" s="2885"/>
    </row>
    <row r="41" spans="1:34">
      <c r="A41" s="2896" t="s">
        <v>2569</v>
      </c>
      <c r="B41" s="2897">
        <f>B40/(1+N40)</f>
        <v>275.24529281292263</v>
      </c>
      <c r="C41" s="2897">
        <f>C40/(1+O40)</f>
        <v>231.74747938962707</v>
      </c>
      <c r="D41" s="2897">
        <f t="shared" si="164"/>
        <v>231.74747938962707</v>
      </c>
      <c r="E41" s="2897">
        <f t="shared" si="175"/>
        <v>375.35938184826603</v>
      </c>
      <c r="F41" s="2897">
        <f t="shared" si="175"/>
        <v>216.78033510692495</v>
      </c>
      <c r="G41" s="3582"/>
      <c r="H41" s="2911">
        <v>2</v>
      </c>
      <c r="I41" s="2911">
        <v>0.02</v>
      </c>
      <c r="J41" s="2911">
        <v>0.12</v>
      </c>
      <c r="K41" s="2911">
        <v>-0.08</v>
      </c>
      <c r="L41" s="2912">
        <v>1.24</v>
      </c>
      <c r="N41" s="2899">
        <f t="shared" si="166"/>
        <v>2.0000000000000001E-4</v>
      </c>
      <c r="O41" s="2885">
        <f t="shared" si="166"/>
        <v>1.1999999999999999E-3</v>
      </c>
      <c r="P41" s="2885">
        <f t="shared" si="166"/>
        <v>-8.0000000000000004E-4</v>
      </c>
      <c r="Q41" s="2885">
        <f t="shared" si="166"/>
        <v>1.24E-2</v>
      </c>
      <c r="R41" s="2900"/>
      <c r="S41" s="2899"/>
      <c r="T41" s="2885"/>
      <c r="U41" s="2885"/>
      <c r="V41" s="2885"/>
    </row>
    <row r="42" spans="1:34" ht="13.5" thickBot="1">
      <c r="A42" s="2896" t="s">
        <v>2570</v>
      </c>
      <c r="B42" s="2897">
        <f>B41/(1+N41)</f>
        <v>275.19025476197027</v>
      </c>
      <c r="C42" s="2948">
        <v>232</v>
      </c>
      <c r="D42" s="2948">
        <f t="shared" si="164"/>
        <v>232</v>
      </c>
      <c r="E42" s="2897">
        <f t="shared" si="175"/>
        <v>375.65990977608692</v>
      </c>
      <c r="F42" s="2897">
        <f t="shared" si="175"/>
        <v>214.12518283971252</v>
      </c>
      <c r="G42" s="3583"/>
      <c r="H42" s="2898">
        <v>1</v>
      </c>
      <c r="I42" s="2898">
        <v>0.02</v>
      </c>
      <c r="J42" s="2898">
        <v>0.13</v>
      </c>
      <c r="K42" s="2898">
        <v>-0.04</v>
      </c>
      <c r="L42" s="2904">
        <v>0.46</v>
      </c>
      <c r="N42" s="2899">
        <f t="shared" si="166"/>
        <v>2.0000000000000001E-4</v>
      </c>
      <c r="O42" s="2885">
        <f t="shared" si="166"/>
        <v>1.2999999999999999E-3</v>
      </c>
      <c r="P42" s="2885">
        <f t="shared" si="166"/>
        <v>-4.0000000000000002E-4</v>
      </c>
      <c r="Q42" s="2885">
        <f t="shared" si="166"/>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2571</v>
      </c>
      <c r="B43" s="2918">
        <v>275</v>
      </c>
      <c r="C43" s="2918">
        <v>232</v>
      </c>
      <c r="D43" s="2918">
        <f t="shared" si="164"/>
        <v>232</v>
      </c>
      <c r="E43" s="2918">
        <v>376</v>
      </c>
      <c r="F43" s="2919">
        <v>213</v>
      </c>
      <c r="G43" s="3581">
        <v>2011</v>
      </c>
      <c r="H43" s="2920">
        <v>4</v>
      </c>
      <c r="I43" s="2920">
        <v>-0.2</v>
      </c>
      <c r="J43" s="2920">
        <v>0.04</v>
      </c>
      <c r="K43" s="2920">
        <v>-0.34</v>
      </c>
      <c r="L43" s="2921">
        <v>0.46</v>
      </c>
      <c r="N43" s="2915">
        <f t="shared" si="166"/>
        <v>-2E-3</v>
      </c>
      <c r="O43" s="2916">
        <f t="shared" si="166"/>
        <v>4.0000000000000002E-4</v>
      </c>
      <c r="P43" s="2916">
        <f t="shared" si="166"/>
        <v>-3.4000000000000002E-3</v>
      </c>
      <c r="Q43" s="2916">
        <f t="shared" si="166"/>
        <v>4.5999999999999999E-3</v>
      </c>
      <c r="R43" s="2900"/>
      <c r="S43" s="2909"/>
      <c r="T43" s="2910"/>
      <c r="U43" s="2910"/>
      <c r="V43" s="2910"/>
      <c r="X43" s="2910"/>
      <c r="Y43" s="2910"/>
      <c r="Z43" s="2910"/>
    </row>
    <row r="44" spans="1:34">
      <c r="A44" s="2896" t="s">
        <v>2572</v>
      </c>
      <c r="B44" s="2897">
        <f t="shared" ref="B44:C46" si="176">B43/(1+N43)</f>
        <v>275.55110220440883</v>
      </c>
      <c r="C44" s="2897">
        <f t="shared" si="176"/>
        <v>231.90723710515795</v>
      </c>
      <c r="D44" s="2897">
        <f t="shared" si="164"/>
        <v>231.90723710515795</v>
      </c>
      <c r="E44" s="2897">
        <f t="shared" ref="E44:F46" si="177">E43/(1+P43)</f>
        <v>377.28276138872161</v>
      </c>
      <c r="F44" s="2897">
        <f t="shared" si="177"/>
        <v>212.02468644236512</v>
      </c>
      <c r="G44" s="3582">
        <v>2011</v>
      </c>
      <c r="H44" s="2923">
        <v>3</v>
      </c>
      <c r="I44" s="2923">
        <v>0.13</v>
      </c>
      <c r="J44" s="2923">
        <v>0.75</v>
      </c>
      <c r="K44" s="2923">
        <v>-0.08</v>
      </c>
      <c r="L44" s="2924">
        <v>0.53</v>
      </c>
      <c r="N44" s="2899">
        <f t="shared" si="166"/>
        <v>1.2999999999999999E-3</v>
      </c>
      <c r="O44" s="2917">
        <f t="shared" si="166"/>
        <v>7.4999999999999997E-3</v>
      </c>
      <c r="P44" s="2917">
        <f t="shared" si="166"/>
        <v>-8.0000000000000004E-4</v>
      </c>
      <c r="Q44" s="2917">
        <f t="shared" si="166"/>
        <v>5.3E-3</v>
      </c>
      <c r="R44" s="2900"/>
      <c r="S44" s="2899"/>
      <c r="T44" s="2885"/>
      <c r="U44" s="2885"/>
      <c r="V44" s="2885"/>
    </row>
    <row r="45" spans="1:34">
      <c r="A45" s="2896" t="s">
        <v>2573</v>
      </c>
      <c r="B45" s="2897">
        <f t="shared" si="176"/>
        <v>275.19335084830601</v>
      </c>
      <c r="C45" s="2897">
        <f t="shared" si="176"/>
        <v>230.18088050139744</v>
      </c>
      <c r="D45" s="2897">
        <f t="shared" si="164"/>
        <v>230.18088050139744</v>
      </c>
      <c r="E45" s="2897">
        <f t="shared" si="177"/>
        <v>377.58482925212331</v>
      </c>
      <c r="F45" s="2897">
        <f t="shared" si="177"/>
        <v>210.90687997847917</v>
      </c>
      <c r="G45" s="3582">
        <v>2011</v>
      </c>
      <c r="H45" s="2911">
        <v>2</v>
      </c>
      <c r="I45" s="2911">
        <v>-0.4</v>
      </c>
      <c r="J45" s="2911">
        <v>0.17</v>
      </c>
      <c r="K45" s="2911">
        <v>-0.57999999999999996</v>
      </c>
      <c r="L45" s="2912">
        <v>-0.2</v>
      </c>
      <c r="N45" s="2899">
        <f t="shared" si="166"/>
        <v>-4.0000000000000001E-3</v>
      </c>
      <c r="O45" s="2917">
        <f t="shared" si="166"/>
        <v>1.7000000000000001E-3</v>
      </c>
      <c r="P45" s="2917">
        <f t="shared" si="166"/>
        <v>-5.7999999999999996E-3</v>
      </c>
      <c r="Q45" s="2917">
        <f t="shared" si="166"/>
        <v>-2E-3</v>
      </c>
      <c r="R45" s="2900"/>
      <c r="S45" s="2899"/>
      <c r="T45" s="2885"/>
      <c r="U45" s="2885"/>
      <c r="V45" s="2885"/>
    </row>
    <row r="46" spans="1:34" ht="13.5" thickBot="1">
      <c r="A46" s="2896" t="s">
        <v>2574</v>
      </c>
      <c r="B46" s="2897">
        <f t="shared" si="176"/>
        <v>276.29854502841971</v>
      </c>
      <c r="C46" s="2897">
        <f t="shared" si="176"/>
        <v>229.79023709833027</v>
      </c>
      <c r="D46" s="2897">
        <f t="shared" si="164"/>
        <v>229.79023709833027</v>
      </c>
      <c r="E46" s="2897">
        <f t="shared" si="177"/>
        <v>379.78759731655936</v>
      </c>
      <c r="F46" s="2897">
        <f t="shared" si="177"/>
        <v>211.32953905659235</v>
      </c>
      <c r="G46" s="3583">
        <v>2011</v>
      </c>
      <c r="H46" s="2898">
        <v>1</v>
      </c>
      <c r="I46" s="2898">
        <v>2.65</v>
      </c>
      <c r="J46" s="2898">
        <v>3.76</v>
      </c>
      <c r="K46" s="2898">
        <v>1.89</v>
      </c>
      <c r="L46" s="2904">
        <v>7.95</v>
      </c>
      <c r="N46" s="2901">
        <f t="shared" si="166"/>
        <v>2.6499999999999999E-2</v>
      </c>
      <c r="O46" s="2902">
        <f t="shared" si="166"/>
        <v>3.7599999999999995E-2</v>
      </c>
      <c r="P46" s="2902">
        <f t="shared" si="166"/>
        <v>1.89E-2</v>
      </c>
      <c r="Q46" s="2902">
        <f t="shared" si="166"/>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2575</v>
      </c>
      <c r="B47" s="2918">
        <v>269</v>
      </c>
      <c r="C47" s="2918">
        <v>221</v>
      </c>
      <c r="D47" s="2918">
        <f t="shared" si="164"/>
        <v>221</v>
      </c>
      <c r="E47" s="2918">
        <v>373</v>
      </c>
      <c r="F47" s="2919">
        <v>196</v>
      </c>
      <c r="G47" s="3581">
        <v>2010</v>
      </c>
      <c r="H47" s="2920">
        <v>4</v>
      </c>
      <c r="I47" s="2920">
        <v>5.72</v>
      </c>
      <c r="J47" s="2920">
        <v>6.57</v>
      </c>
      <c r="K47" s="2920">
        <v>5.72</v>
      </c>
      <c r="L47" s="2921">
        <v>2.72</v>
      </c>
      <c r="N47" s="2899">
        <f t="shared" si="166"/>
        <v>5.7200000000000001E-2</v>
      </c>
      <c r="O47" s="2885">
        <f t="shared" si="166"/>
        <v>6.5700000000000008E-2</v>
      </c>
      <c r="P47" s="2885">
        <f t="shared" si="166"/>
        <v>5.7200000000000001E-2</v>
      </c>
      <c r="Q47" s="2885">
        <f t="shared" si="166"/>
        <v>2.7200000000000002E-2</v>
      </c>
      <c r="R47" s="2900"/>
      <c r="S47" s="2909"/>
      <c r="T47" s="2910"/>
      <c r="U47" s="2910"/>
      <c r="V47" s="2910"/>
      <c r="X47" s="2910"/>
      <c r="Y47" s="2910"/>
      <c r="Z47" s="2910"/>
    </row>
    <row r="48" spans="1:34">
      <c r="A48" s="2896" t="s">
        <v>2576</v>
      </c>
      <c r="B48" s="2897">
        <f t="shared" ref="B48:C50" si="178">B47/(1+N47)</f>
        <v>254.44570563753314</v>
      </c>
      <c r="C48" s="2897">
        <f t="shared" si="178"/>
        <v>207.37543398705074</v>
      </c>
      <c r="D48" s="2897">
        <f t="shared" si="164"/>
        <v>207.37543398705074</v>
      </c>
      <c r="E48" s="2897">
        <f t="shared" ref="E48:F50" si="179">E47/(1+P47)</f>
        <v>352.81876655315932</v>
      </c>
      <c r="F48" s="2897">
        <f t="shared" si="179"/>
        <v>190.809968847352</v>
      </c>
      <c r="G48" s="3582">
        <v>2010</v>
      </c>
      <c r="H48" s="2923">
        <v>3</v>
      </c>
      <c r="I48" s="2923">
        <v>4.7300000000000004</v>
      </c>
      <c r="J48" s="2923">
        <v>3.9</v>
      </c>
      <c r="K48" s="2923">
        <v>5.03</v>
      </c>
      <c r="L48" s="2924">
        <v>4.21</v>
      </c>
      <c r="N48" s="2899">
        <f t="shared" si="166"/>
        <v>4.7300000000000002E-2</v>
      </c>
      <c r="O48" s="2885">
        <f t="shared" si="166"/>
        <v>3.9E-2</v>
      </c>
      <c r="P48" s="2885">
        <f t="shared" si="166"/>
        <v>5.0300000000000004E-2</v>
      </c>
      <c r="Q48" s="2885">
        <f t="shared" si="166"/>
        <v>4.2099999999999999E-2</v>
      </c>
      <c r="R48" s="2900"/>
      <c r="S48" s="2899"/>
      <c r="T48" s="2885"/>
      <c r="U48" s="2885"/>
      <c r="V48" s="2885"/>
    </row>
    <row r="49" spans="1:26">
      <c r="A49" s="2896" t="s">
        <v>2577</v>
      </c>
      <c r="B49" s="2897">
        <f t="shared" si="178"/>
        <v>242.95398227588385</v>
      </c>
      <c r="C49" s="2897">
        <f t="shared" si="178"/>
        <v>199.59137053614126</v>
      </c>
      <c r="D49" s="2897">
        <f t="shared" si="164"/>
        <v>199.59137053614126</v>
      </c>
      <c r="E49" s="2897">
        <f t="shared" si="179"/>
        <v>335.92189522342125</v>
      </c>
      <c r="F49" s="2897">
        <f t="shared" si="179"/>
        <v>183.10139991109489</v>
      </c>
      <c r="G49" s="3582">
        <v>2010</v>
      </c>
      <c r="H49" s="2911">
        <v>2</v>
      </c>
      <c r="I49" s="2911">
        <v>4.6900000000000004</v>
      </c>
      <c r="J49" s="2911">
        <v>3.55</v>
      </c>
      <c r="K49" s="2911">
        <v>5.07</v>
      </c>
      <c r="L49" s="2912">
        <v>4.2300000000000004</v>
      </c>
      <c r="N49" s="2899">
        <f t="shared" si="166"/>
        <v>4.6900000000000004E-2</v>
      </c>
      <c r="O49" s="2885">
        <f t="shared" si="166"/>
        <v>3.5499999999999997E-2</v>
      </c>
      <c r="P49" s="2885">
        <f t="shared" si="166"/>
        <v>5.0700000000000002E-2</v>
      </c>
      <c r="Q49" s="2885">
        <f t="shared" si="166"/>
        <v>4.2300000000000004E-2</v>
      </c>
      <c r="R49" s="2900"/>
      <c r="S49" s="2899"/>
      <c r="T49" s="2885"/>
      <c r="U49" s="2885"/>
      <c r="V49" s="2885"/>
    </row>
    <row r="50" spans="1:26" ht="13.5" thickBot="1">
      <c r="A50" s="2896" t="s">
        <v>2578</v>
      </c>
      <c r="B50" s="2897">
        <f t="shared" si="178"/>
        <v>232.06990378821649</v>
      </c>
      <c r="C50" s="2897">
        <f t="shared" si="178"/>
        <v>192.74878854286936</v>
      </c>
      <c r="D50" s="2897">
        <f t="shared" si="164"/>
        <v>192.74878854286936</v>
      </c>
      <c r="E50" s="2897">
        <f t="shared" si="179"/>
        <v>319.71247284992984</v>
      </c>
      <c r="F50" s="2897">
        <f t="shared" si="179"/>
        <v>175.67053622862409</v>
      </c>
      <c r="G50" s="3583">
        <v>2010</v>
      </c>
      <c r="H50" s="2898">
        <v>1</v>
      </c>
      <c r="I50" s="2898">
        <v>5.4</v>
      </c>
      <c r="J50" s="2898">
        <v>3.2</v>
      </c>
      <c r="K50" s="2898">
        <v>6.16</v>
      </c>
      <c r="L50" s="2904">
        <v>4.51</v>
      </c>
      <c r="N50" s="2899">
        <f t="shared" si="166"/>
        <v>5.4000000000000006E-2</v>
      </c>
      <c r="O50" s="2885">
        <f t="shared" si="166"/>
        <v>3.2000000000000001E-2</v>
      </c>
      <c r="P50" s="2885">
        <f t="shared" si="166"/>
        <v>6.1600000000000002E-2</v>
      </c>
      <c r="Q50" s="2885">
        <f t="shared" si="166"/>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2579</v>
      </c>
      <c r="B51" s="2918">
        <v>220</v>
      </c>
      <c r="C51" s="2918">
        <v>187</v>
      </c>
      <c r="D51" s="2918">
        <f t="shared" si="164"/>
        <v>187</v>
      </c>
      <c r="E51" s="2918">
        <v>301</v>
      </c>
      <c r="F51" s="2919">
        <v>168</v>
      </c>
      <c r="G51" s="3581">
        <v>2009</v>
      </c>
      <c r="H51" s="2920">
        <v>4</v>
      </c>
      <c r="I51" s="2920">
        <v>2.2999999999999998</v>
      </c>
      <c r="J51" s="2920">
        <v>1.04</v>
      </c>
      <c r="K51" s="2920">
        <v>2.84</v>
      </c>
      <c r="L51" s="2921">
        <v>0.67</v>
      </c>
      <c r="N51" s="2915">
        <f t="shared" si="166"/>
        <v>2.3E-2</v>
      </c>
      <c r="O51" s="2916">
        <f t="shared" si="166"/>
        <v>1.04E-2</v>
      </c>
      <c r="P51" s="2916">
        <f t="shared" si="166"/>
        <v>2.8399999999999998E-2</v>
      </c>
      <c r="Q51" s="2916">
        <f t="shared" si="166"/>
        <v>6.7000000000000002E-3</v>
      </c>
      <c r="R51" s="2900"/>
      <c r="S51" s="2909"/>
      <c r="T51" s="2910"/>
      <c r="U51" s="2910"/>
      <c r="V51" s="2910"/>
      <c r="X51" s="2910"/>
      <c r="Y51" s="2910"/>
      <c r="Z51" s="2910"/>
    </row>
    <row r="52" spans="1:26">
      <c r="A52" s="2896" t="s">
        <v>2580</v>
      </c>
      <c r="B52" s="2897">
        <f t="shared" ref="B52:C54" si="180">B51/(1+N51)</f>
        <v>215.05376344086022</v>
      </c>
      <c r="C52" s="2897">
        <f t="shared" si="180"/>
        <v>185.0752177355503</v>
      </c>
      <c r="D52" s="2897">
        <f t="shared" si="164"/>
        <v>185.0752177355503</v>
      </c>
      <c r="E52" s="2897">
        <f t="shared" ref="E52:F54" si="181">E51/(1+P51)</f>
        <v>292.68767016725008</v>
      </c>
      <c r="F52" s="2897">
        <f t="shared" si="181"/>
        <v>166.88189132810174</v>
      </c>
      <c r="G52" s="3582">
        <v>2009</v>
      </c>
      <c r="H52" s="2923">
        <v>3</v>
      </c>
      <c r="I52" s="2923">
        <v>2.1</v>
      </c>
      <c r="J52" s="2923">
        <v>1.86</v>
      </c>
      <c r="K52" s="2923">
        <v>2.29</v>
      </c>
      <c r="L52" s="2924">
        <v>0.85</v>
      </c>
      <c r="N52" s="2899">
        <f t="shared" si="166"/>
        <v>2.1000000000000001E-2</v>
      </c>
      <c r="O52" s="2917">
        <f t="shared" si="166"/>
        <v>1.8600000000000002E-2</v>
      </c>
      <c r="P52" s="2917">
        <f t="shared" si="166"/>
        <v>2.29E-2</v>
      </c>
      <c r="Q52" s="2917">
        <f t="shared" si="166"/>
        <v>8.5000000000000006E-3</v>
      </c>
      <c r="R52" s="2900"/>
      <c r="S52" s="2899"/>
      <c r="T52" s="2885"/>
      <c r="U52" s="2885"/>
      <c r="V52" s="2885"/>
    </row>
    <row r="53" spans="1:26">
      <c r="A53" s="2896" t="s">
        <v>2581</v>
      </c>
      <c r="B53" s="2897">
        <f t="shared" si="180"/>
        <v>210.630522469011</v>
      </c>
      <c r="C53" s="2897">
        <f t="shared" si="180"/>
        <v>181.69567812247232</v>
      </c>
      <c r="D53" s="2897">
        <f t="shared" si="164"/>
        <v>181.69567812247232</v>
      </c>
      <c r="E53" s="2897">
        <f t="shared" si="181"/>
        <v>286.13517466736738</v>
      </c>
      <c r="F53" s="2897">
        <f t="shared" si="181"/>
        <v>165.47535084591149</v>
      </c>
      <c r="G53" s="3582">
        <v>2009</v>
      </c>
      <c r="H53" s="2911">
        <v>2</v>
      </c>
      <c r="I53" s="2911">
        <v>0.86</v>
      </c>
      <c r="J53" s="2911">
        <v>-1.1299999999999999</v>
      </c>
      <c r="K53" s="2911">
        <v>1.79</v>
      </c>
      <c r="L53" s="2912">
        <v>-2.0699999999999998</v>
      </c>
      <c r="N53" s="2899">
        <f t="shared" si="166"/>
        <v>8.6E-3</v>
      </c>
      <c r="O53" s="2917">
        <f t="shared" si="166"/>
        <v>-1.1299999999999999E-2</v>
      </c>
      <c r="P53" s="2917">
        <f t="shared" si="166"/>
        <v>1.7899999999999999E-2</v>
      </c>
      <c r="Q53" s="2917">
        <f t="shared" si="166"/>
        <v>-2.07E-2</v>
      </c>
      <c r="R53" s="2900"/>
      <c r="S53" s="2899"/>
      <c r="T53" s="2885"/>
      <c r="U53" s="2885"/>
      <c r="V53" s="2885"/>
    </row>
    <row r="54" spans="1:26">
      <c r="A54" s="2896" t="s">
        <v>2582</v>
      </c>
      <c r="B54" s="2897">
        <f t="shared" si="180"/>
        <v>208.83454537875372</v>
      </c>
      <c r="C54" s="2897">
        <f t="shared" si="180"/>
        <v>183.77230517090351</v>
      </c>
      <c r="D54" s="2897">
        <f t="shared" si="164"/>
        <v>183.77230517090351</v>
      </c>
      <c r="E54" s="2897">
        <f t="shared" si="181"/>
        <v>281.10342338870947</v>
      </c>
      <c r="F54" s="2897">
        <f t="shared" si="181"/>
        <v>168.97309388942256</v>
      </c>
      <c r="G54" s="3583">
        <v>2009</v>
      </c>
      <c r="H54" s="2898">
        <v>1</v>
      </c>
      <c r="I54" s="2898">
        <v>-2.64</v>
      </c>
      <c r="J54" s="2898">
        <v>-2.5299999999999998</v>
      </c>
      <c r="K54" s="2898">
        <v>-3.02</v>
      </c>
      <c r="L54" s="2904">
        <v>1.52</v>
      </c>
      <c r="N54" s="2901">
        <f t="shared" si="166"/>
        <v>-2.64E-2</v>
      </c>
      <c r="O54" s="2902">
        <f t="shared" si="166"/>
        <v>-2.53E-2</v>
      </c>
      <c r="P54" s="2902">
        <f t="shared" si="166"/>
        <v>-3.0200000000000001E-2</v>
      </c>
      <c r="Q54" s="2902">
        <f t="shared" si="166"/>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2583</v>
      </c>
      <c r="B55" s="2946">
        <v>214</v>
      </c>
      <c r="C55" s="2946">
        <v>188</v>
      </c>
      <c r="D55" s="2946">
        <f t="shared" si="164"/>
        <v>188</v>
      </c>
      <c r="E55" s="2946">
        <v>289</v>
      </c>
      <c r="F55" s="2947">
        <v>166</v>
      </c>
      <c r="G55" s="3581">
        <v>2008</v>
      </c>
      <c r="H55" s="2920">
        <v>4</v>
      </c>
      <c r="I55" s="2920">
        <v>1.73</v>
      </c>
      <c r="J55" s="2920">
        <v>0.03</v>
      </c>
      <c r="K55" s="2920">
        <v>2.59</v>
      </c>
      <c r="L55" s="2921">
        <v>-1.66</v>
      </c>
      <c r="N55" s="2899">
        <f t="shared" si="166"/>
        <v>1.7299999999999999E-2</v>
      </c>
      <c r="O55" s="2885">
        <f t="shared" si="166"/>
        <v>2.9999999999999997E-4</v>
      </c>
      <c r="P55" s="2885">
        <f t="shared" si="166"/>
        <v>2.5899999999999999E-2</v>
      </c>
      <c r="Q55" s="2885">
        <f t="shared" si="166"/>
        <v>-1.66E-2</v>
      </c>
      <c r="R55" s="2900"/>
      <c r="S55" s="2909"/>
      <c r="T55" s="2910"/>
      <c r="U55" s="2910"/>
      <c r="V55" s="2910"/>
      <c r="X55" s="2910"/>
      <c r="Y55" s="2910"/>
      <c r="Z55" s="2910"/>
    </row>
    <row r="56" spans="1:26">
      <c r="A56" s="2896" t="s">
        <v>2584</v>
      </c>
      <c r="B56" s="2897">
        <f t="shared" ref="B56:C58" si="182">B55/(1+N55)</f>
        <v>210.36075887152265</v>
      </c>
      <c r="C56" s="2897">
        <f t="shared" si="182"/>
        <v>187.94361691492554</v>
      </c>
      <c r="D56" s="2897">
        <f t="shared" si="164"/>
        <v>187.94361691492554</v>
      </c>
      <c r="E56" s="2897">
        <f t="shared" ref="E56:F58" si="183">E55/(1+P55)</f>
        <v>281.70386977288234</v>
      </c>
      <c r="F56" s="2897">
        <f t="shared" si="183"/>
        <v>168.80211511083994</v>
      </c>
      <c r="G56" s="3582">
        <v>2008</v>
      </c>
      <c r="H56" s="2923">
        <v>3</v>
      </c>
      <c r="I56" s="2923">
        <v>1.96</v>
      </c>
      <c r="J56" s="2923">
        <v>2.36</v>
      </c>
      <c r="K56" s="2923">
        <v>1.82</v>
      </c>
      <c r="L56" s="2924">
        <v>2.2200000000000002</v>
      </c>
      <c r="N56" s="2899">
        <f t="shared" si="166"/>
        <v>1.9599999999999999E-2</v>
      </c>
      <c r="O56" s="2885">
        <f t="shared" si="166"/>
        <v>2.3599999999999999E-2</v>
      </c>
      <c r="P56" s="2885">
        <f t="shared" si="166"/>
        <v>1.8200000000000001E-2</v>
      </c>
      <c r="Q56" s="2885">
        <f t="shared" si="166"/>
        <v>2.2200000000000001E-2</v>
      </c>
      <c r="R56" s="2900"/>
      <c r="S56" s="2899"/>
      <c r="T56" s="2885"/>
      <c r="U56" s="2885"/>
      <c r="V56" s="2885"/>
    </row>
    <row r="57" spans="1:26">
      <c r="A57" s="2896" t="s">
        <v>2585</v>
      </c>
      <c r="B57" s="2897">
        <f t="shared" si="182"/>
        <v>206.31694671589116</v>
      </c>
      <c r="C57" s="2897">
        <f t="shared" si="182"/>
        <v>183.61041121036101</v>
      </c>
      <c r="D57" s="2897">
        <f t="shared" si="164"/>
        <v>183.61041121036101</v>
      </c>
      <c r="E57" s="2897">
        <f t="shared" si="183"/>
        <v>276.66850301795557</v>
      </c>
      <c r="F57" s="2897">
        <f t="shared" si="183"/>
        <v>165.1360938278614</v>
      </c>
      <c r="G57" s="3582">
        <v>2008</v>
      </c>
      <c r="H57" s="2911">
        <v>2</v>
      </c>
      <c r="I57" s="2911">
        <v>4.93</v>
      </c>
      <c r="J57" s="2911">
        <v>7.38</v>
      </c>
      <c r="K57" s="2911">
        <v>3.98</v>
      </c>
      <c r="L57" s="2912">
        <v>6.86</v>
      </c>
      <c r="N57" s="2899">
        <f t="shared" si="166"/>
        <v>4.9299999999999997E-2</v>
      </c>
      <c r="O57" s="2885">
        <f t="shared" si="166"/>
        <v>7.3800000000000004E-2</v>
      </c>
      <c r="P57" s="2885">
        <f t="shared" si="166"/>
        <v>3.9800000000000002E-2</v>
      </c>
      <c r="Q57" s="2885">
        <f t="shared" si="166"/>
        <v>6.8600000000000008E-2</v>
      </c>
      <c r="R57" s="2900"/>
      <c r="S57" s="2899"/>
      <c r="T57" s="2885"/>
      <c r="U57" s="2885"/>
      <c r="V57" s="2885"/>
    </row>
    <row r="58" spans="1:26" s="2952" customFormat="1" ht="13.5" thickBot="1">
      <c r="A58" s="2896" t="s">
        <v>2586</v>
      </c>
      <c r="B58" s="2949">
        <f t="shared" si="182"/>
        <v>196.62341248059772</v>
      </c>
      <c r="C58" s="2949">
        <f t="shared" si="182"/>
        <v>170.99125648199012</v>
      </c>
      <c r="D58" s="2949">
        <f t="shared" si="164"/>
        <v>170.99125648199012</v>
      </c>
      <c r="E58" s="2949">
        <f t="shared" si="183"/>
        <v>266.07857570490052</v>
      </c>
      <c r="F58" s="2949">
        <f t="shared" si="183"/>
        <v>154.53499328828505</v>
      </c>
      <c r="G58" s="3583">
        <v>2008</v>
      </c>
      <c r="H58" s="2950">
        <v>1</v>
      </c>
      <c r="I58" s="2950">
        <v>4.1399999999999997</v>
      </c>
      <c r="J58" s="2950">
        <v>3.45</v>
      </c>
      <c r="K58" s="2950">
        <v>4.95</v>
      </c>
      <c r="L58" s="2951">
        <v>4.82</v>
      </c>
      <c r="N58" s="2953">
        <f t="shared" si="166"/>
        <v>4.1399999999999999E-2</v>
      </c>
      <c r="O58" s="2954">
        <f t="shared" si="166"/>
        <v>3.4500000000000003E-2</v>
      </c>
      <c r="P58" s="2954">
        <f t="shared" si="166"/>
        <v>4.9500000000000002E-2</v>
      </c>
      <c r="Q58" s="2954">
        <f t="shared" si="166"/>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2587</v>
      </c>
      <c r="B59" s="2918">
        <v>188</v>
      </c>
      <c r="C59" s="2918">
        <v>165</v>
      </c>
      <c r="D59" s="2918">
        <f t="shared" si="164"/>
        <v>165</v>
      </c>
      <c r="E59" s="2918">
        <v>254</v>
      </c>
      <c r="F59" s="2919">
        <v>148</v>
      </c>
      <c r="G59" s="3581">
        <v>2007</v>
      </c>
      <c r="H59" s="2956">
        <v>4</v>
      </c>
      <c r="I59" s="2956">
        <v>5.51</v>
      </c>
      <c r="J59" s="2956">
        <v>4.8899999999999997</v>
      </c>
      <c r="K59" s="2956">
        <v>6.43</v>
      </c>
      <c r="L59" s="2957">
        <v>5.36</v>
      </c>
      <c r="N59" s="2958">
        <f t="shared" ref="N59:O62" si="184">B59/B60-1</f>
        <v>4.1339718365245526E-2</v>
      </c>
      <c r="O59" s="2959">
        <f t="shared" si="184"/>
        <v>4.0324492593776018E-2</v>
      </c>
      <c r="P59" s="2959">
        <f t="shared" ref="P59:Q62" si="185">E59/E60-1</f>
        <v>6.1625555347990968E-2</v>
      </c>
      <c r="Q59" s="2959">
        <f t="shared" si="185"/>
        <v>4.6757569250590603E-2</v>
      </c>
      <c r="R59" s="2900"/>
      <c r="S59" s="2909"/>
      <c r="T59" s="2910"/>
      <c r="U59" s="2910"/>
      <c r="V59" s="2910"/>
      <c r="X59" s="2910"/>
      <c r="Y59" s="2910"/>
      <c r="Z59" s="2910"/>
    </row>
    <row r="60" spans="1:26">
      <c r="A60" s="2896" t="s">
        <v>2588</v>
      </c>
      <c r="B60" s="2897">
        <f t="shared" ref="B60:C62" si="186">B61+(B$59-B$63)*I60/SUM(I$59:I$62)</f>
        <v>180.5366651097618</v>
      </c>
      <c r="C60" s="2897">
        <f t="shared" si="186"/>
        <v>158.60435967302453</v>
      </c>
      <c r="D60" s="2897">
        <f t="shared" si="164"/>
        <v>158.60435967302453</v>
      </c>
      <c r="E60" s="2897">
        <f t="shared" ref="E60:F62" si="187">E61+(E$59-E$63)*K60/SUM(K$59:K$62)</f>
        <v>239.25573260785075</v>
      </c>
      <c r="F60" s="2897">
        <f t="shared" si="187"/>
        <v>141.38899430740037</v>
      </c>
      <c r="G60" s="3582">
        <v>2007</v>
      </c>
      <c r="H60" s="2923">
        <v>3</v>
      </c>
      <c r="I60" s="2923">
        <v>8.65</v>
      </c>
      <c r="J60" s="2923">
        <v>8.06</v>
      </c>
      <c r="K60" s="2923">
        <v>9.94</v>
      </c>
      <c r="L60" s="2924">
        <v>5.8</v>
      </c>
      <c r="N60" s="2958">
        <f t="shared" si="184"/>
        <v>6.940217571740015E-2</v>
      </c>
      <c r="O60" s="2959">
        <f t="shared" si="184"/>
        <v>7.1197482471153428E-2</v>
      </c>
      <c r="P60" s="2959">
        <f t="shared" si="185"/>
        <v>0.10529679922579582</v>
      </c>
      <c r="Q60" s="2959">
        <f t="shared" si="185"/>
        <v>5.3292245059512133E-2</v>
      </c>
      <c r="R60" s="2900"/>
      <c r="S60" s="2899"/>
      <c r="T60" s="2885"/>
      <c r="U60" s="2885"/>
      <c r="V60" s="2885"/>
      <c r="X60" s="2960"/>
      <c r="Y60" s="2960"/>
      <c r="Z60" s="2960"/>
    </row>
    <row r="61" spans="1:26">
      <c r="A61" s="2896" t="s">
        <v>2589</v>
      </c>
      <c r="B61" s="2897">
        <f t="shared" si="186"/>
        <v>168.82017748715555</v>
      </c>
      <c r="C61" s="2897">
        <f t="shared" si="186"/>
        <v>148.06267029972753</v>
      </c>
      <c r="D61" s="2897">
        <f t="shared" si="164"/>
        <v>148.06267029972753</v>
      </c>
      <c r="E61" s="2897">
        <f t="shared" si="187"/>
        <v>216.46288379323747</v>
      </c>
      <c r="F61" s="2897">
        <f t="shared" si="187"/>
        <v>134.23529411764704</v>
      </c>
      <c r="G61" s="3582">
        <v>2007</v>
      </c>
      <c r="H61" s="2911">
        <v>2</v>
      </c>
      <c r="I61" s="2911">
        <v>3.67</v>
      </c>
      <c r="J61" s="2911">
        <v>2.3199999999999998</v>
      </c>
      <c r="K61" s="2911">
        <v>5.0199999999999996</v>
      </c>
      <c r="L61" s="2912">
        <v>6.71</v>
      </c>
      <c r="N61" s="2958">
        <f t="shared" si="184"/>
        <v>3.0339138143848032E-2</v>
      </c>
      <c r="O61" s="2959">
        <f t="shared" si="184"/>
        <v>2.0922341588790472E-2</v>
      </c>
      <c r="P61" s="2959">
        <f t="shared" si="185"/>
        <v>5.6164796592717003E-2</v>
      </c>
      <c r="Q61" s="2959">
        <f t="shared" si="185"/>
        <v>6.5704536723887319E-2</v>
      </c>
      <c r="R61" s="2900"/>
      <c r="S61" s="2899"/>
      <c r="T61" s="2885"/>
      <c r="U61" s="2885"/>
      <c r="V61" s="2885"/>
      <c r="X61" s="2960"/>
      <c r="Y61" s="2960"/>
      <c r="Z61" s="2960"/>
    </row>
    <row r="62" spans="1:26">
      <c r="A62" s="2896" t="s">
        <v>2590</v>
      </c>
      <c r="B62" s="2897">
        <f t="shared" si="186"/>
        <v>163.84913591779542</v>
      </c>
      <c r="C62" s="2897">
        <f t="shared" si="186"/>
        <v>145.0283378746594</v>
      </c>
      <c r="D62" s="2897">
        <f t="shared" si="164"/>
        <v>145.0283378746594</v>
      </c>
      <c r="E62" s="2897">
        <f t="shared" si="187"/>
        <v>204.95180722891567</v>
      </c>
      <c r="F62" s="2897">
        <f t="shared" si="187"/>
        <v>125.95920303605313</v>
      </c>
      <c r="G62" s="3583">
        <v>2007</v>
      </c>
      <c r="H62" s="2898">
        <v>1</v>
      </c>
      <c r="I62" s="2898">
        <v>3.58</v>
      </c>
      <c r="J62" s="2898">
        <v>3.08</v>
      </c>
      <c r="K62" s="2898">
        <v>4.34</v>
      </c>
      <c r="L62" s="2904">
        <v>3.21</v>
      </c>
      <c r="N62" s="2961">
        <f t="shared" si="184"/>
        <v>3.0497710174814063E-2</v>
      </c>
      <c r="O62" s="2962">
        <f t="shared" si="184"/>
        <v>2.8569772160704998E-2</v>
      </c>
      <c r="P62" s="2962">
        <f t="shared" si="185"/>
        <v>5.1034908866234296E-2</v>
      </c>
      <c r="Q62" s="2962">
        <f t="shared" si="185"/>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2591</v>
      </c>
      <c r="B63" s="2925">
        <v>159</v>
      </c>
      <c r="C63" s="2925">
        <v>141</v>
      </c>
      <c r="D63" s="2925">
        <f t="shared" si="164"/>
        <v>141</v>
      </c>
      <c r="E63" s="2925">
        <v>195</v>
      </c>
      <c r="F63" s="2926">
        <v>122</v>
      </c>
      <c r="G63" s="3581">
        <v>2006</v>
      </c>
      <c r="H63" s="2920">
        <v>4</v>
      </c>
      <c r="I63" s="2920">
        <v>3.79</v>
      </c>
      <c r="J63" s="2920">
        <v>2.21</v>
      </c>
      <c r="K63" s="2920">
        <v>5.65</v>
      </c>
      <c r="L63" s="2921">
        <v>5.41</v>
      </c>
      <c r="N63" s="2958">
        <f t="shared" ref="N63:O66" si="188">I63/SUM(I$63:I$66)*(B$63/B$67-1)</f>
        <v>7.245466462748526E-2</v>
      </c>
      <c r="O63" s="2959">
        <f t="shared" si="188"/>
        <v>2.3237230038062766E-2</v>
      </c>
      <c r="P63" s="2959">
        <f t="shared" ref="P63:Q66" si="189">K63/SUM(K$63:K$66)*(E$63/E$67-1)</f>
        <v>0.16146893866323722</v>
      </c>
      <c r="Q63" s="2959">
        <f t="shared" si="189"/>
        <v>5.0755230321793784E-2</v>
      </c>
      <c r="R63" s="2900"/>
      <c r="S63" s="2909"/>
      <c r="T63" s="2910"/>
      <c r="U63" s="2910"/>
      <c r="V63" s="2910"/>
      <c r="X63" s="2960"/>
      <c r="Y63" s="2960"/>
      <c r="Z63" s="2960"/>
    </row>
    <row r="64" spans="1:26">
      <c r="A64" s="2896" t="s">
        <v>2592</v>
      </c>
      <c r="B64" s="2897">
        <f t="shared" ref="B64:C66" si="190">B65+(B$63-B$67)*I64/SUM(I$63:I$66)</f>
        <v>149.00125628140702</v>
      </c>
      <c r="C64" s="2897">
        <f t="shared" si="190"/>
        <v>137.95592286501378</v>
      </c>
      <c r="D64" s="2897">
        <f t="shared" si="164"/>
        <v>137.95592286501378</v>
      </c>
      <c r="E64" s="2897">
        <f t="shared" ref="E64:F66" si="191">E65+(E$63-E$67)*K64/SUM(K$63:K$66)</f>
        <v>169.97231450719823</v>
      </c>
      <c r="F64" s="2897">
        <f t="shared" si="191"/>
        <v>116.21390374331551</v>
      </c>
      <c r="G64" s="3582">
        <v>2006</v>
      </c>
      <c r="H64" s="2923">
        <v>3</v>
      </c>
      <c r="I64" s="2923">
        <v>0.92</v>
      </c>
      <c r="J64" s="2923">
        <v>1.08</v>
      </c>
      <c r="K64" s="2923">
        <v>0.73</v>
      </c>
      <c r="L64" s="2924">
        <v>1.08</v>
      </c>
      <c r="N64" s="2958">
        <f t="shared" si="188"/>
        <v>1.7587939698492462E-2</v>
      </c>
      <c r="O64" s="2959">
        <f t="shared" si="188"/>
        <v>1.1355750425840628E-2</v>
      </c>
      <c r="P64" s="2959">
        <f t="shared" si="189"/>
        <v>2.0862358446754544E-2</v>
      </c>
      <c r="Q64" s="2959">
        <f t="shared" si="189"/>
        <v>1.0132282578103011E-2</v>
      </c>
      <c r="R64" s="2900"/>
      <c r="S64" s="2899"/>
      <c r="T64" s="2885"/>
      <c r="U64" s="2885"/>
      <c r="V64" s="2885"/>
      <c r="X64" s="2960"/>
      <c r="Y64" s="2960"/>
      <c r="Z64" s="2960"/>
    </row>
    <row r="65" spans="1:26">
      <c r="A65" s="2896" t="s">
        <v>2593</v>
      </c>
      <c r="B65" s="2897">
        <f t="shared" si="190"/>
        <v>146.57412060301507</v>
      </c>
      <c r="C65" s="2897">
        <f t="shared" si="190"/>
        <v>136.46831955922866</v>
      </c>
      <c r="D65" s="2897">
        <f t="shared" si="164"/>
        <v>136.46831955922866</v>
      </c>
      <c r="E65" s="2897">
        <f t="shared" si="191"/>
        <v>166.73864894795128</v>
      </c>
      <c r="F65" s="2897">
        <f t="shared" si="191"/>
        <v>115.05882352941177</v>
      </c>
      <c r="G65" s="3582">
        <v>2006</v>
      </c>
      <c r="H65" s="2911">
        <v>2</v>
      </c>
      <c r="I65" s="2911">
        <v>0.96</v>
      </c>
      <c r="J65" s="2911">
        <v>0.25</v>
      </c>
      <c r="K65" s="2911">
        <v>1.9</v>
      </c>
      <c r="L65" s="2912">
        <v>0.95</v>
      </c>
      <c r="N65" s="2958">
        <f t="shared" si="188"/>
        <v>1.8352632728861701E-2</v>
      </c>
      <c r="O65" s="2959">
        <f t="shared" si="188"/>
        <v>2.6286459319075526E-3</v>
      </c>
      <c r="P65" s="2959">
        <f t="shared" si="189"/>
        <v>5.4299289107991269E-2</v>
      </c>
      <c r="Q65" s="2959">
        <f t="shared" si="189"/>
        <v>8.9126559714794995E-3</v>
      </c>
      <c r="R65" s="2900"/>
      <c r="S65" s="2899"/>
      <c r="T65" s="2885"/>
      <c r="U65" s="2885"/>
      <c r="V65" s="2885"/>
      <c r="X65" s="2960"/>
      <c r="Y65" s="2960"/>
      <c r="Z65" s="2960"/>
    </row>
    <row r="66" spans="1:26">
      <c r="A66" s="2896" t="s">
        <v>2594</v>
      </c>
      <c r="B66" s="2897">
        <f t="shared" si="190"/>
        <v>144.04145728643215</v>
      </c>
      <c r="C66" s="2897">
        <f t="shared" si="190"/>
        <v>136.12396694214877</v>
      </c>
      <c r="D66" s="2897">
        <f t="shared" si="164"/>
        <v>136.12396694214877</v>
      </c>
      <c r="E66" s="2897">
        <f t="shared" si="191"/>
        <v>158.32225913621264</v>
      </c>
      <c r="F66" s="2897">
        <f t="shared" si="191"/>
        <v>114.04278074866311</v>
      </c>
      <c r="G66" s="3583">
        <v>2006</v>
      </c>
      <c r="H66" s="2898">
        <v>1</v>
      </c>
      <c r="I66" s="2898">
        <v>2.29</v>
      </c>
      <c r="J66" s="2898">
        <v>3.72</v>
      </c>
      <c r="K66" s="2898">
        <v>0.75</v>
      </c>
      <c r="L66" s="2904">
        <v>0.04</v>
      </c>
      <c r="N66" s="2961">
        <f t="shared" si="188"/>
        <v>4.3778675988638847E-2</v>
      </c>
      <c r="O66" s="2962">
        <f t="shared" si="188"/>
        <v>3.9114251466784385E-2</v>
      </c>
      <c r="P66" s="2962">
        <f t="shared" si="189"/>
        <v>2.1433929911049188E-2</v>
      </c>
      <c r="Q66" s="2962">
        <f t="shared" si="189"/>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2595</v>
      </c>
      <c r="B67" s="2925">
        <v>138</v>
      </c>
      <c r="C67" s="2925">
        <v>131</v>
      </c>
      <c r="D67" s="2925">
        <f t="shared" si="164"/>
        <v>131</v>
      </c>
      <c r="E67" s="2925">
        <v>155</v>
      </c>
      <c r="F67" s="2926">
        <v>114</v>
      </c>
      <c r="G67" s="3581">
        <v>2005</v>
      </c>
      <c r="H67" s="2920">
        <v>4</v>
      </c>
      <c r="I67" s="2920">
        <v>3.29</v>
      </c>
      <c r="J67" s="2920">
        <v>1.44</v>
      </c>
      <c r="K67" s="2920">
        <v>0.66</v>
      </c>
      <c r="L67" s="2921">
        <v>7.78</v>
      </c>
      <c r="N67" s="2958">
        <f t="shared" ref="N67:O70" si="192">I67/SUM(I$67:I$70)*(B$67/B$71-1)</f>
        <v>9.9404603216919935E-2</v>
      </c>
      <c r="O67" s="2959">
        <f t="shared" si="192"/>
        <v>4.7636550760861554E-2</v>
      </c>
      <c r="P67" s="2959">
        <f t="shared" ref="P67:Q70" si="193">K67/SUM(K$67:K$70)*(E$67/E$71-1)</f>
        <v>8.3756345177664976E-2</v>
      </c>
      <c r="Q67" s="2959">
        <f t="shared" si="193"/>
        <v>5.2148766661559584E-2</v>
      </c>
      <c r="R67" s="2900"/>
      <c r="S67" s="2909"/>
      <c r="T67" s="2910"/>
      <c r="U67" s="2910"/>
      <c r="V67" s="2910"/>
      <c r="X67" s="2960"/>
      <c r="Y67" s="2960"/>
      <c r="Z67" s="2960"/>
    </row>
    <row r="68" spans="1:26">
      <c r="A68" s="2896" t="s">
        <v>2596</v>
      </c>
      <c r="B68" s="2897">
        <f t="shared" ref="B68:C70" si="194">B69+(B$67-B$71)*I68/SUM(I$67:I$70)</f>
        <v>125.9720430107527</v>
      </c>
      <c r="C68" s="2897">
        <f t="shared" si="194"/>
        <v>125.1883408071749</v>
      </c>
      <c r="D68" s="2897">
        <f t="shared" si="164"/>
        <v>125.1883408071749</v>
      </c>
      <c r="E68" s="2897">
        <f t="shared" ref="E68:F70" si="195">E69+(E$67-E$71)*K68/SUM(K$67:K$70)</f>
        <v>144.61421319796952</v>
      </c>
      <c r="F68" s="2897">
        <f t="shared" si="195"/>
        <v>108.42008196721311</v>
      </c>
      <c r="G68" s="3582">
        <v>2005</v>
      </c>
      <c r="H68" s="2923">
        <v>3</v>
      </c>
      <c r="I68" s="2923">
        <v>0.46</v>
      </c>
      <c r="J68" s="2923">
        <v>0.32</v>
      </c>
      <c r="K68" s="2923">
        <v>0.42</v>
      </c>
      <c r="L68" s="2924">
        <v>0.64</v>
      </c>
      <c r="N68" s="2958">
        <f t="shared" si="192"/>
        <v>1.3898515951301874E-2</v>
      </c>
      <c r="O68" s="2959">
        <f t="shared" si="192"/>
        <v>1.0585900169080346E-2</v>
      </c>
      <c r="P68" s="2959">
        <f t="shared" si="193"/>
        <v>5.3299492385786795E-2</v>
      </c>
      <c r="Q68" s="2959">
        <f t="shared" si="193"/>
        <v>4.2898728359123568E-3</v>
      </c>
      <c r="R68" s="2900"/>
      <c r="S68" s="2899"/>
      <c r="T68" s="2885"/>
      <c r="U68" s="2885"/>
      <c r="V68" s="2885"/>
      <c r="X68" s="2960"/>
      <c r="Y68" s="2960"/>
      <c r="Z68" s="2960"/>
    </row>
    <row r="69" spans="1:26">
      <c r="A69" s="2896" t="s">
        <v>2597</v>
      </c>
      <c r="B69" s="2897">
        <f t="shared" si="194"/>
        <v>124.29032258064517</v>
      </c>
      <c r="C69" s="2897">
        <f t="shared" si="194"/>
        <v>123.8968609865471</v>
      </c>
      <c r="D69" s="2897">
        <f t="shared" si="164"/>
        <v>123.8968609865471</v>
      </c>
      <c r="E69" s="2897">
        <f t="shared" si="195"/>
        <v>138.00507614213197</v>
      </c>
      <c r="F69" s="2897">
        <f t="shared" si="195"/>
        <v>107.96106557377048</v>
      </c>
      <c r="G69" s="3582">
        <v>2005</v>
      </c>
      <c r="H69" s="2911">
        <v>2</v>
      </c>
      <c r="I69" s="2911">
        <v>0.47</v>
      </c>
      <c r="J69" s="2911">
        <v>0.1</v>
      </c>
      <c r="K69" s="2911">
        <v>0.52</v>
      </c>
      <c r="L69" s="2912">
        <v>0.79</v>
      </c>
      <c r="N69" s="2958">
        <f t="shared" si="192"/>
        <v>1.420065760241713E-2</v>
      </c>
      <c r="O69" s="2959">
        <f t="shared" si="192"/>
        <v>3.3080938028376083E-3</v>
      </c>
      <c r="P69" s="2959">
        <f t="shared" si="193"/>
        <v>6.598984771573603E-2</v>
      </c>
      <c r="Q69" s="2959">
        <f t="shared" si="193"/>
        <v>5.2953117818293153E-3</v>
      </c>
      <c r="R69" s="2900"/>
      <c r="S69" s="2899"/>
      <c r="T69" s="2885"/>
      <c r="U69" s="2885"/>
      <c r="V69" s="2885"/>
      <c r="X69" s="2960"/>
      <c r="Y69" s="2960"/>
      <c r="Z69" s="2960"/>
    </row>
    <row r="70" spans="1:26">
      <c r="A70" s="2896" t="s">
        <v>2598</v>
      </c>
      <c r="B70" s="2897">
        <f t="shared" si="194"/>
        <v>122.57204301075269</v>
      </c>
      <c r="C70" s="2897">
        <f t="shared" si="194"/>
        <v>123.4932735426009</v>
      </c>
      <c r="D70" s="2897">
        <f t="shared" si="164"/>
        <v>123.4932735426009</v>
      </c>
      <c r="E70" s="2897">
        <f t="shared" si="195"/>
        <v>129.82233502538071</v>
      </c>
      <c r="F70" s="2897">
        <f t="shared" si="195"/>
        <v>107.39446721311475</v>
      </c>
      <c r="G70" s="3583">
        <v>2005</v>
      </c>
      <c r="H70" s="2898">
        <v>1</v>
      </c>
      <c r="I70" s="2898">
        <v>0.43</v>
      </c>
      <c r="J70" s="2898">
        <v>0.37</v>
      </c>
      <c r="K70" s="2898">
        <v>0.37</v>
      </c>
      <c r="L70" s="2904">
        <v>0.55000000000000004</v>
      </c>
      <c r="N70" s="2961">
        <f t="shared" si="192"/>
        <v>1.2992090997956099E-2</v>
      </c>
      <c r="O70" s="2962">
        <f t="shared" si="192"/>
        <v>1.2239947070499151E-2</v>
      </c>
      <c r="P70" s="2962">
        <f t="shared" si="193"/>
        <v>4.6954314720812178E-2</v>
      </c>
      <c r="Q70" s="2962">
        <f t="shared" si="193"/>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2599</v>
      </c>
      <c r="B71" s="2946">
        <v>121</v>
      </c>
      <c r="C71" s="2946">
        <v>122</v>
      </c>
      <c r="D71" s="2946">
        <f t="shared" si="164"/>
        <v>122</v>
      </c>
      <c r="E71" s="2946">
        <v>124</v>
      </c>
      <c r="F71" s="2947">
        <v>107</v>
      </c>
      <c r="G71" s="3581">
        <v>2004</v>
      </c>
      <c r="H71" s="2920">
        <v>4</v>
      </c>
      <c r="I71" s="2920">
        <v>0.33</v>
      </c>
      <c r="J71" s="2920">
        <v>0.5</v>
      </c>
      <c r="K71" s="2920">
        <v>0.5</v>
      </c>
      <c r="L71" s="2921">
        <v>0</v>
      </c>
      <c r="N71" s="2958">
        <f t="shared" ref="N71:O74" si="196">I71/SUM(I$71:I$74)*(B$71/B$75-1)</f>
        <v>1.3391770148526898E-2</v>
      </c>
      <c r="O71" s="2959">
        <f t="shared" si="196"/>
        <v>1.063264221158958E-2</v>
      </c>
      <c r="P71" s="2959">
        <f t="shared" ref="P71:Q74" si="197">K71/SUM(K$71:K$74)*(E$71/E$75-1)</f>
        <v>2.2244466688911134E-2</v>
      </c>
      <c r="Q71" s="2959">
        <f t="shared" si="197"/>
        <v>0</v>
      </c>
      <c r="R71" s="2900"/>
      <c r="S71" s="2909"/>
      <c r="T71" s="2910"/>
      <c r="U71" s="2910"/>
      <c r="V71" s="2910"/>
      <c r="X71" s="2960"/>
      <c r="Y71" s="2960"/>
      <c r="Z71" s="2960"/>
    </row>
    <row r="72" spans="1:26">
      <c r="A72" s="2896" t="s">
        <v>2600</v>
      </c>
      <c r="B72" s="2897">
        <f t="shared" ref="B72:C74" si="198">B73+(B$71-B$75)*I72/SUM(I$71:I$74)</f>
        <v>119.51351351351352</v>
      </c>
      <c r="C72" s="2897">
        <f t="shared" si="198"/>
        <v>120.7878787878788</v>
      </c>
      <c r="D72" s="2897">
        <f t="shared" si="164"/>
        <v>120.7878787878788</v>
      </c>
      <c r="E72" s="2897">
        <f t="shared" ref="E72:F74" si="199">E73+(E$71-E$75)*K72/SUM(K$71:K$74)</f>
        <v>121.5975975975976</v>
      </c>
      <c r="F72" s="2897">
        <f t="shared" si="199"/>
        <v>107</v>
      </c>
      <c r="G72" s="3582">
        <v>2004</v>
      </c>
      <c r="H72" s="2923">
        <v>3</v>
      </c>
      <c r="I72" s="2923">
        <v>0.56000000000000005</v>
      </c>
      <c r="J72" s="2923">
        <v>0.8</v>
      </c>
      <c r="K72" s="2923">
        <v>0.83</v>
      </c>
      <c r="L72" s="2924">
        <v>0.06</v>
      </c>
      <c r="N72" s="2958">
        <f t="shared" si="196"/>
        <v>2.2725428130833527E-2</v>
      </c>
      <c r="O72" s="2959">
        <f t="shared" si="196"/>
        <v>1.7012227538543329E-2</v>
      </c>
      <c r="P72" s="2959">
        <f t="shared" si="197"/>
        <v>3.6925814703592477E-2</v>
      </c>
      <c r="Q72" s="2959">
        <f t="shared" si="197"/>
        <v>2.8846153846153744E-2</v>
      </c>
      <c r="R72" s="2900"/>
      <c r="S72" s="2899"/>
      <c r="T72" s="2885"/>
      <c r="U72" s="2885"/>
      <c r="V72" s="2885"/>
      <c r="X72" s="2960"/>
      <c r="Y72" s="2960"/>
      <c r="Z72" s="2960"/>
    </row>
    <row r="73" spans="1:26">
      <c r="A73" s="2896" t="s">
        <v>2601</v>
      </c>
      <c r="B73" s="2897">
        <f t="shared" si="198"/>
        <v>116.99099099099099</v>
      </c>
      <c r="C73" s="2897">
        <f t="shared" si="198"/>
        <v>118.84848484848486</v>
      </c>
      <c r="D73" s="2897">
        <f t="shared" si="164"/>
        <v>118.84848484848486</v>
      </c>
      <c r="E73" s="2897">
        <f t="shared" si="199"/>
        <v>117.60960960960961</v>
      </c>
      <c r="F73" s="2897">
        <f t="shared" si="199"/>
        <v>104</v>
      </c>
      <c r="G73" s="3582">
        <v>2004</v>
      </c>
      <c r="H73" s="2911">
        <v>2</v>
      </c>
      <c r="I73" s="2911">
        <v>1</v>
      </c>
      <c r="J73" s="2911">
        <v>1.5</v>
      </c>
      <c r="K73" s="2911">
        <v>1.5</v>
      </c>
      <c r="L73" s="2912">
        <v>0</v>
      </c>
      <c r="N73" s="2958">
        <f t="shared" si="196"/>
        <v>4.0581121662202721E-2</v>
      </c>
      <c r="O73" s="2959">
        <f t="shared" si="196"/>
        <v>3.1897926634768738E-2</v>
      </c>
      <c r="P73" s="2959">
        <f t="shared" si="197"/>
        <v>6.6733400066733395E-2</v>
      </c>
      <c r="Q73" s="2959">
        <f t="shared" si="197"/>
        <v>0</v>
      </c>
      <c r="R73" s="2900"/>
      <c r="S73" s="2899"/>
      <c r="T73" s="2885"/>
      <c r="U73" s="2885"/>
      <c r="V73" s="2885"/>
      <c r="X73" s="2960"/>
      <c r="Y73" s="2960"/>
      <c r="Z73" s="2960"/>
    </row>
    <row r="74" spans="1:26" s="2952" customFormat="1" ht="13.5" thickBot="1">
      <c r="A74" s="2896" t="s">
        <v>2602</v>
      </c>
      <c r="B74" s="2949">
        <f t="shared" si="198"/>
        <v>112.48648648648648</v>
      </c>
      <c r="C74" s="2949">
        <f t="shared" si="198"/>
        <v>115.21212121212122</v>
      </c>
      <c r="D74" s="2949">
        <f t="shared" si="164"/>
        <v>115.21212121212122</v>
      </c>
      <c r="E74" s="2949">
        <f t="shared" si="199"/>
        <v>110.4024024024024</v>
      </c>
      <c r="F74" s="2949">
        <f t="shared" si="199"/>
        <v>104</v>
      </c>
      <c r="G74" s="3583">
        <v>2004</v>
      </c>
      <c r="H74" s="2950">
        <v>1</v>
      </c>
      <c r="I74" s="2950">
        <v>0.33</v>
      </c>
      <c r="J74" s="2950">
        <v>0.5</v>
      </c>
      <c r="K74" s="2950">
        <v>0.5</v>
      </c>
      <c r="L74" s="2951">
        <v>0</v>
      </c>
      <c r="N74" s="2963">
        <f t="shared" si="196"/>
        <v>1.3391770148526898E-2</v>
      </c>
      <c r="O74" s="2964">
        <f t="shared" si="196"/>
        <v>1.063264221158958E-2</v>
      </c>
      <c r="P74" s="2964">
        <f t="shared" si="197"/>
        <v>2.2244466688911134E-2</v>
      </c>
      <c r="Q74" s="2964">
        <f t="shared" si="197"/>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2603</v>
      </c>
      <c r="B75" s="2966">
        <v>111</v>
      </c>
      <c r="C75" s="2966">
        <v>114</v>
      </c>
      <c r="D75" s="2966">
        <f t="shared" si="164"/>
        <v>114</v>
      </c>
      <c r="E75" s="2966">
        <v>108</v>
      </c>
      <c r="F75" s="2967">
        <v>104</v>
      </c>
      <c r="G75" s="3581">
        <v>2003</v>
      </c>
      <c r="H75" s="2956">
        <v>4</v>
      </c>
      <c r="I75" s="2968"/>
      <c r="J75" s="2968"/>
      <c r="K75" s="2968"/>
      <c r="L75" s="2968"/>
      <c r="N75" s="2969"/>
      <c r="O75" s="2968"/>
      <c r="P75" s="2968"/>
      <c r="Q75" s="2968"/>
      <c r="S75" s="2969"/>
      <c r="T75" s="2968"/>
      <c r="U75" s="2968"/>
      <c r="V75" s="2968"/>
      <c r="X75" s="2960"/>
      <c r="Y75" s="2960"/>
      <c r="Z75" s="2960"/>
    </row>
    <row r="76" spans="1:26">
      <c r="A76" s="2896" t="s">
        <v>2604</v>
      </c>
      <c r="B76" s="2970">
        <f t="shared" ref="B76:C78" si="200">B77+(B$75-B$79)/4</f>
        <v>109.75</v>
      </c>
      <c r="C76" s="2970">
        <f t="shared" si="200"/>
        <v>112.25</v>
      </c>
      <c r="D76" s="2970">
        <f t="shared" si="164"/>
        <v>112.25</v>
      </c>
      <c r="E76" s="2970">
        <f t="shared" ref="E76:F78" si="201">E77+(E$75-E$79)/4</f>
        <v>107.25</v>
      </c>
      <c r="F76" s="2970">
        <f t="shared" si="201"/>
        <v>103.5</v>
      </c>
      <c r="G76" s="3582">
        <v>2003</v>
      </c>
      <c r="H76" s="2923">
        <v>3</v>
      </c>
      <c r="I76" s="2968"/>
      <c r="J76" s="2968"/>
      <c r="K76" s="2968"/>
      <c r="L76" s="2968"/>
      <c r="X76" s="2960"/>
      <c r="Y76" s="2960"/>
      <c r="Z76" s="2960"/>
    </row>
    <row r="77" spans="1:26">
      <c r="A77" s="2896" t="s">
        <v>2605</v>
      </c>
      <c r="B77" s="2970">
        <f t="shared" si="200"/>
        <v>108.5</v>
      </c>
      <c r="C77" s="2970">
        <f t="shared" si="200"/>
        <v>110.5</v>
      </c>
      <c r="D77" s="2970">
        <f t="shared" si="164"/>
        <v>110.5</v>
      </c>
      <c r="E77" s="2970">
        <f t="shared" si="201"/>
        <v>106.5</v>
      </c>
      <c r="F77" s="2970">
        <f t="shared" si="201"/>
        <v>103</v>
      </c>
      <c r="G77" s="3582">
        <v>2003</v>
      </c>
      <c r="H77" s="2911">
        <v>2</v>
      </c>
      <c r="I77" s="2968"/>
      <c r="J77" s="2968"/>
      <c r="K77" s="2968"/>
      <c r="L77" s="2968"/>
      <c r="X77" s="2960"/>
      <c r="Y77" s="2960"/>
      <c r="Z77" s="2960"/>
    </row>
    <row r="78" spans="1:26" ht="13.5" thickBot="1">
      <c r="A78" s="2896" t="s">
        <v>2606</v>
      </c>
      <c r="B78" s="2970">
        <f t="shared" si="200"/>
        <v>107.25</v>
      </c>
      <c r="C78" s="2970">
        <f t="shared" si="200"/>
        <v>108.75</v>
      </c>
      <c r="D78" s="2970">
        <f t="shared" si="164"/>
        <v>108.75</v>
      </c>
      <c r="E78" s="2970">
        <f t="shared" si="201"/>
        <v>105.75</v>
      </c>
      <c r="F78" s="2970">
        <f t="shared" si="201"/>
        <v>102.5</v>
      </c>
      <c r="G78" s="3583">
        <v>2003</v>
      </c>
      <c r="H78" s="2971">
        <v>1</v>
      </c>
      <c r="I78" s="2968"/>
      <c r="J78" s="2968"/>
      <c r="K78" s="2968"/>
      <c r="L78" s="2968"/>
      <c r="S78" s="2899"/>
      <c r="T78" s="2885"/>
      <c r="U78" s="2885"/>
      <c r="X78" s="2960"/>
      <c r="Y78" s="2960"/>
      <c r="Z78" s="2960"/>
    </row>
    <row r="79" spans="1:26" ht="13.5" thickBot="1">
      <c r="A79" s="2896" t="s">
        <v>2607</v>
      </c>
      <c r="B79" s="2972">
        <v>106</v>
      </c>
      <c r="C79" s="2972">
        <v>107</v>
      </c>
      <c r="D79" s="2972">
        <f t="shared" si="164"/>
        <v>107</v>
      </c>
      <c r="E79" s="2972">
        <v>105</v>
      </c>
      <c r="F79" s="2973">
        <v>102</v>
      </c>
      <c r="G79" s="3581">
        <v>2002</v>
      </c>
      <c r="H79" s="2920">
        <v>4</v>
      </c>
      <c r="I79" s="2968"/>
      <c r="J79" s="2968"/>
      <c r="K79" s="2968"/>
      <c r="L79" s="2968"/>
      <c r="N79" s="2969"/>
      <c r="O79" s="2968"/>
      <c r="P79" s="2968"/>
      <c r="Q79" s="2968"/>
      <c r="S79" s="2969"/>
      <c r="T79" s="2968"/>
      <c r="U79" s="2968"/>
      <c r="V79" s="2968"/>
      <c r="X79" s="2960"/>
      <c r="Y79" s="2960"/>
      <c r="Z79" s="2960"/>
    </row>
    <row r="80" spans="1:26">
      <c r="A80" s="2896" t="s">
        <v>2608</v>
      </c>
      <c r="B80" s="2970">
        <f t="shared" ref="B80:C82" si="202">B81+(B$79-B$83)/4</f>
        <v>105</v>
      </c>
      <c r="C80" s="2970">
        <f t="shared" si="202"/>
        <v>106</v>
      </c>
      <c r="D80" s="2970">
        <f t="shared" si="164"/>
        <v>106</v>
      </c>
      <c r="E80" s="2970">
        <f t="shared" ref="E80:F82" si="203">E81+(E$79-E$83)/4</f>
        <v>104.5</v>
      </c>
      <c r="F80" s="2970">
        <f t="shared" si="203"/>
        <v>101.5</v>
      </c>
      <c r="G80" s="3582">
        <v>2002</v>
      </c>
      <c r="H80" s="2923">
        <v>3</v>
      </c>
      <c r="I80" s="2968"/>
      <c r="J80" s="2968"/>
      <c r="K80" s="2968"/>
      <c r="L80" s="2968"/>
      <c r="X80" s="2960"/>
      <c r="Y80" s="2960"/>
      <c r="Z80" s="2960"/>
    </row>
    <row r="81" spans="1:26">
      <c r="A81" s="2896" t="s">
        <v>2609</v>
      </c>
      <c r="B81" s="2970">
        <f t="shared" si="202"/>
        <v>104</v>
      </c>
      <c r="C81" s="2970">
        <f t="shared" si="202"/>
        <v>105</v>
      </c>
      <c r="D81" s="2970">
        <f t="shared" si="164"/>
        <v>105</v>
      </c>
      <c r="E81" s="2970">
        <f t="shared" si="203"/>
        <v>104</v>
      </c>
      <c r="F81" s="2970">
        <f t="shared" si="203"/>
        <v>101</v>
      </c>
      <c r="G81" s="3582">
        <v>2002</v>
      </c>
      <c r="H81" s="2911">
        <v>2</v>
      </c>
      <c r="I81" s="2968"/>
      <c r="J81" s="2968"/>
      <c r="K81" s="2968"/>
      <c r="L81" s="2968"/>
      <c r="X81" s="2960"/>
      <c r="Y81" s="2960"/>
      <c r="Z81" s="2960"/>
    </row>
    <row r="82" spans="1:26" s="2933" customFormat="1" ht="13.5" thickBot="1">
      <c r="A82" s="2929" t="s">
        <v>2610</v>
      </c>
      <c r="B82" s="2936">
        <f t="shared" si="202"/>
        <v>103</v>
      </c>
      <c r="C82" s="2936">
        <f t="shared" si="202"/>
        <v>104</v>
      </c>
      <c r="D82" s="2936">
        <f t="shared" si="164"/>
        <v>104</v>
      </c>
      <c r="E82" s="2936">
        <f t="shared" si="203"/>
        <v>103.5</v>
      </c>
      <c r="F82" s="2936">
        <f t="shared" si="203"/>
        <v>100.5</v>
      </c>
      <c r="G82" s="3583">
        <v>2002</v>
      </c>
      <c r="H82" s="2974">
        <v>1</v>
      </c>
      <c r="I82" s="2975"/>
      <c r="J82" s="2975"/>
      <c r="K82" s="2975"/>
      <c r="L82" s="2975"/>
      <c r="N82" s="2976"/>
      <c r="S82" s="2976"/>
      <c r="X82" s="2977"/>
      <c r="Y82" s="2977"/>
      <c r="Z82" s="2977"/>
    </row>
    <row r="83" spans="1:26" ht="13.5" thickBot="1">
      <c r="B83" s="2978">
        <v>102</v>
      </c>
      <c r="C83" s="2979">
        <v>103</v>
      </c>
      <c r="D83" s="2979">
        <f t="shared" si="164"/>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2611</v>
      </c>
      <c r="G85" s="2983"/>
      <c r="N85" s="2983"/>
      <c r="S85" s="2983"/>
    </row>
    <row r="86" spans="1:26" s="2982" customFormat="1">
      <c r="A86" s="2982" t="s">
        <v>2612</v>
      </c>
      <c r="G86" s="2983"/>
      <c r="N86" s="2983"/>
      <c r="S86" s="2983"/>
    </row>
    <row r="87" spans="1:26" s="2982" customFormat="1">
      <c r="A87" s="2982" t="s">
        <v>2613</v>
      </c>
      <c r="G87" s="2983"/>
      <c r="I87" s="2984"/>
      <c r="J87" s="2984"/>
      <c r="K87" s="2984"/>
      <c r="L87" s="2984"/>
      <c r="N87" s="2985"/>
      <c r="O87" s="2984"/>
      <c r="P87" s="2984"/>
      <c r="Q87" s="2984"/>
      <c r="S87" s="2985"/>
      <c r="T87" s="2984"/>
      <c r="U87" s="2984"/>
      <c r="V87" s="2984"/>
    </row>
    <row r="88" spans="1:26" s="2982" customFormat="1">
      <c r="A88" s="2982" t="s">
        <v>2614</v>
      </c>
      <c r="G88" s="2983"/>
      <c r="N88" s="2983"/>
      <c r="S88" s="2983"/>
    </row>
    <row r="95" spans="1:26" ht="13.5" thickBot="1"/>
    <row r="96" spans="1:26">
      <c r="G96" s="2884"/>
      <c r="S96" s="2986" t="s">
        <v>2615</v>
      </c>
      <c r="T96" s="2987" t="s">
        <v>2616</v>
      </c>
      <c r="U96" s="2987" t="s">
        <v>2617</v>
      </c>
      <c r="V96" s="2987" t="s">
        <v>2618</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2912</v>
      </c>
      <c r="B1" s="3243"/>
      <c r="C1" s="3243"/>
      <c r="D1" s="3243"/>
      <c r="E1" s="3243"/>
      <c r="F1" s="3243"/>
      <c r="G1" s="3244"/>
      <c r="H1" s="3244"/>
      <c r="I1" s="3244"/>
      <c r="J1" s="3244"/>
      <c r="K1" s="3244"/>
      <c r="L1" s="3244"/>
      <c r="M1" s="3244"/>
      <c r="N1" s="3244"/>
    </row>
    <row r="2" spans="1:14" ht="14.25">
      <c r="A2" s="3249" t="s">
        <v>2907</v>
      </c>
      <c r="B2" s="3254">
        <f ca="1">SUMIF(B7:B14,"&lt;&gt;#ref!",B7:B14)</f>
        <v>0</v>
      </c>
      <c r="C2" s="3249" t="s">
        <v>2908</v>
      </c>
      <c r="D2" s="3246"/>
      <c r="E2" s="3246"/>
      <c r="F2" s="3246"/>
      <c r="G2" s="3244"/>
      <c r="H2" s="3244"/>
      <c r="I2" s="3244"/>
      <c r="J2" s="3244"/>
      <c r="K2" s="3244"/>
      <c r="L2" s="3244"/>
      <c r="M2" s="3244"/>
      <c r="N2" s="3244"/>
    </row>
    <row r="3" spans="1:14" ht="14.25">
      <c r="A3" s="3249" t="s">
        <v>2937</v>
      </c>
      <c r="B3" s="3254" t="e">
        <f ca="1">ROUND(B2*10000/E3,0)</f>
        <v>#DIV/0!</v>
      </c>
      <c r="C3" s="3249" t="s">
        <v>2067</v>
      </c>
      <c r="D3" s="3249" t="s">
        <v>2909</v>
      </c>
      <c r="E3" s="3247">
        <f ca="1">SUMIF(E7:E14,"&lt;&gt;#ref!",E7:E14)</f>
        <v>0</v>
      </c>
      <c r="F3" s="3246"/>
      <c r="G3" s="3244"/>
      <c r="H3" s="3244"/>
      <c r="I3" s="3244"/>
      <c r="J3" s="3244"/>
      <c r="K3" s="3244"/>
      <c r="L3" s="3244"/>
      <c r="M3" s="3244"/>
      <c r="N3" s="3244"/>
    </row>
    <row r="4" spans="1:14" ht="14.25">
      <c r="A4" s="3249" t="s">
        <v>2915</v>
      </c>
      <c r="B4" s="3254" t="e">
        <f ca="1">ROUND(B2*10000/E4,0)</f>
        <v>#DIV/0!</v>
      </c>
      <c r="C4" s="3249" t="s">
        <v>2067</v>
      </c>
      <c r="D4" s="3249" t="s">
        <v>2916</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2913</v>
      </c>
      <c r="B6" s="3249" t="s">
        <v>2910</v>
      </c>
      <c r="C6" s="2788"/>
      <c r="D6" s="3246"/>
      <c r="E6" s="3249" t="s">
        <v>2911</v>
      </c>
      <c r="F6" s="3249" t="s">
        <v>2914</v>
      </c>
      <c r="G6" s="3244"/>
      <c r="H6" s="3244"/>
      <c r="I6" s="3244"/>
      <c r="J6" s="3244"/>
      <c r="K6" s="3244"/>
      <c r="L6" s="3244"/>
      <c r="M6" s="3244"/>
      <c r="N6" s="3244"/>
    </row>
    <row r="7" spans="1:14" ht="14.25">
      <c r="A7" s="3252"/>
      <c r="B7" s="3254" t="e">
        <f ca="1">SUMIF(INDIRECT("'"&amp;A7&amp;"'"&amp;"!A:A"),"总价",INDIRECT("'"&amp;A7&amp;"'"&amp;"!B:B"))</f>
        <v>#REF!</v>
      </c>
      <c r="C7" s="3249" t="s">
        <v>2908</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2908</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2908</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2908</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2908</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2908</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2908</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2908</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56.25">
      <c r="A7" s="1710" t="s">
        <v>2727</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2021年4月29日</v>
      </c>
    </row>
    <row r="12" spans="1:4" ht="18.75">
      <c r="A12" s="1712" t="s">
        <v>2014</v>
      </c>
    </row>
    <row r="13" spans="1:4" ht="18.75">
      <c r="A13" s="1706" t="s">
        <v>2905</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4月29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90" t="s">
        <v>2444</v>
      </c>
      <c r="C8" s="1740">
        <f ca="1">ROUND(F8*F10*F9*(1-F11)/10000,0)</f>
        <v>0</v>
      </c>
      <c r="D8" s="1737" t="s">
        <v>2515</v>
      </c>
      <c r="E8" s="61" t="s">
        <v>631</v>
      </c>
      <c r="F8" s="775">
        <f ca="1">INDIRECT("'数据-取费表'!u"&amp;$G$1)</f>
        <v>0</v>
      </c>
      <c r="G8" s="1526"/>
      <c r="H8" s="2357" t="s">
        <v>1815</v>
      </c>
      <c r="I8" s="3590" t="s">
        <v>2444</v>
      </c>
      <c r="J8" s="773">
        <f ca="1">ROUND(M8*M10*M9*(1-M11)/10000,0)</f>
        <v>0</v>
      </c>
      <c r="K8" s="339" t="s">
        <v>2515</v>
      </c>
      <c r="L8" s="774" t="s">
        <v>1729</v>
      </c>
      <c r="M8" s="775">
        <f ca="1">INDIRECT("'数据-取费表'!z"&amp;$G$1)</f>
        <v>0</v>
      </c>
    </row>
    <row r="9" spans="1:25" ht="18" customHeight="1">
      <c r="A9" s="2353"/>
      <c r="B9" s="3591"/>
      <c r="C9" s="1741"/>
      <c r="D9" s="1738"/>
      <c r="E9" s="61" t="s">
        <v>632</v>
      </c>
      <c r="F9" s="775">
        <f ca="1">IF(INDIRECT("'数据-取费表'!ah"&amp;$G$1)="",INDIRECT("'数据-取费表'!k"&amp;$G$1),INDIRECT("'数据-取费表'!ah"&amp;$G$1))</f>
        <v>0</v>
      </c>
      <c r="G9" s="1526"/>
      <c r="H9" s="2342"/>
      <c r="I9" s="3591"/>
      <c r="J9" s="778"/>
      <c r="K9" s="779"/>
      <c r="L9" s="774" t="s">
        <v>1730</v>
      </c>
      <c r="M9" s="775">
        <f ca="1">F9</f>
        <v>0</v>
      </c>
    </row>
    <row r="10" spans="1:25" ht="18" customHeight="1">
      <c r="A10" s="2346"/>
      <c r="B10" s="3592"/>
      <c r="C10" s="1741"/>
      <c r="D10" s="1738"/>
      <c r="E10" s="61" t="s">
        <v>633</v>
      </c>
      <c r="F10" s="775">
        <f ca="1">INDIRECT("'数据-取费表'!ai"&amp;$G$1)</f>
        <v>0</v>
      </c>
      <c r="G10" s="1526"/>
      <c r="H10" s="2342"/>
      <c r="I10" s="3592"/>
      <c r="J10" s="778"/>
      <c r="K10" s="779"/>
      <c r="L10" s="774" t="s">
        <v>1731</v>
      </c>
      <c r="M10" s="775">
        <f ca="1">INDIRECT("'数据-取费表'!ai"&amp;$G$1)</f>
        <v>0</v>
      </c>
    </row>
    <row r="11" spans="1:25" ht="18" customHeight="1">
      <c r="A11" s="776"/>
      <c r="B11" s="3593"/>
      <c r="C11" s="1741"/>
      <c r="D11" s="1738"/>
      <c r="E11" s="61" t="s">
        <v>634</v>
      </c>
      <c r="F11" s="784">
        <f ca="1">INDIRECT("'数据-取费表'!w"&amp;$G$1)</f>
        <v>0</v>
      </c>
      <c r="G11" s="1526"/>
      <c r="H11" s="2358"/>
      <c r="I11" s="3592"/>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2934</v>
      </c>
      <c r="E12" s="2351" t="s">
        <v>2445</v>
      </c>
      <c r="F12" s="2465"/>
      <c r="G12" s="1526"/>
      <c r="H12" s="2414" t="s">
        <v>1816</v>
      </c>
      <c r="I12" s="2419" t="s">
        <v>2440</v>
      </c>
      <c r="J12" s="773">
        <f ca="1">ROUND(IF(M12="押一",J8/12*M13,IF(M12="押二",J8/12*2*M13,IF(M12="押三",J8/12*3*M13,J13*M13))),0)</f>
        <v>0</v>
      </c>
      <c r="K12" s="2354" t="s">
        <v>2934</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7">
        <f ca="1">ROUND(IF(AND(项目基本情况!B11="自然人",项目基本情况!B10="北京市"),J8*M19/(1+'数据-取费表'!C42),J20+J21+J22),0)</f>
        <v>0</v>
      </c>
      <c r="K19" s="1893" t="s">
        <v>651</v>
      </c>
      <c r="L19" s="1891" t="s">
        <v>652</v>
      </c>
      <c r="M19" s="3016"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8.9999999999999998E-4</v>
      </c>
      <c r="D26" s="2423" t="str">
        <f>IF(F25&lt;=1,"销售费用×利率×(建设周期÷2)","销售费用×((1+利率)^(建设周期÷2)-1)")</f>
        <v>销售费用×((1+利率)^(建设周期÷2)-1)</v>
      </c>
      <c r="E26" s="774" t="s">
        <v>676</v>
      </c>
      <c r="F26" s="808">
        <f ca="1">'数据-取费表'!B40</f>
        <v>4.3499999999999997E-2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2"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3"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7">
        <f ca="1">ROUND(IF(AND(项目基本情况!B11="自然人",项目基本情况!B10="北京市"),C8*F33/(1+'数据-取费表'!C42),C34+C35+C36),0)</f>
        <v>0</v>
      </c>
      <c r="D33" s="1893" t="s">
        <v>651</v>
      </c>
      <c r="E33" s="1891" t="s">
        <v>684</v>
      </c>
      <c r="F33" s="3016" t="str">
        <f>IF(项目基本情况!B11="企业","——",IF('数据-取费表'!B10="住宅",IF(F8*F9*F10/12/(1+'数据-取费表'!F30)&gt;100000,4%,2.5%),IF(F8*F9*F10/12/(1+'数据-取费表'!F30)&gt;100000,12%,7%)))</f>
        <v>——</v>
      </c>
      <c r="G33" s="1945"/>
      <c r="H33" s="3255" t="s">
        <v>2991</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5</v>
      </c>
      <c r="G36" s="1945"/>
      <c r="H36" s="1948"/>
      <c r="I36" s="3589"/>
      <c r="J36" s="1962"/>
      <c r="K36" s="1963"/>
      <c r="L36" s="1962"/>
      <c r="M36" s="1962"/>
    </row>
    <row r="37" spans="1:18" ht="18" customHeight="1">
      <c r="A37" s="804"/>
      <c r="B37" s="783"/>
      <c r="C37" s="69"/>
      <c r="D37" s="805"/>
      <c r="E37" s="774" t="s">
        <v>668</v>
      </c>
      <c r="F37" s="775">
        <f ca="1">INDIRECT("'数据-取费表'!r"&amp;$G$1)</f>
        <v>0</v>
      </c>
      <c r="G37" s="1945"/>
      <c r="H37" s="1948"/>
      <c r="I37" s="3589"/>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0"/>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0"/>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0"/>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3" t="s">
        <v>2923</v>
      </c>
      <c r="F43" s="2794">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49">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5" t="s">
        <v>2926</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09" t="str">
        <f ca="1">IF(M48="住宅",0,IF(L49&gt;J52,L61,J61))</f>
        <v>0</v>
      </c>
      <c r="O47" s="2249" t="s">
        <v>2395</v>
      </c>
      <c r="P47" s="1526"/>
      <c r="Q47" s="1534"/>
      <c r="R47" s="1526"/>
    </row>
    <row r="48" spans="1:18" s="1942" customFormat="1" ht="18" customHeight="1" thickBot="1">
      <c r="A48" s="1966"/>
      <c r="C48" s="1969"/>
      <c r="D48" s="1970"/>
      <c r="E48" s="1970"/>
      <c r="F48" s="1971"/>
      <c r="G48" s="1972"/>
      <c r="I48" s="2800" t="s">
        <v>2329</v>
      </c>
      <c r="J48" s="2236"/>
      <c r="K48" s="2806" t="s">
        <v>2334</v>
      </c>
      <c r="L48" s="2810">
        <f ca="1">INDIRECT("'数据-取费表'!d"&amp;$G$1)</f>
        <v>0</v>
      </c>
      <c r="M48" s="2792"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7" t="s">
        <v>2330</v>
      </c>
      <c r="J49" s="2237"/>
      <c r="K49" s="2807"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7" t="s">
        <v>2331</v>
      </c>
      <c r="J50" s="2238"/>
      <c r="K50" s="2808"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7" t="s">
        <v>2332</v>
      </c>
      <c r="J51" s="2804">
        <f>SUMPRODUCT((I64:I66=J48)*(J63:L63=J49)*(J64:L66))</f>
        <v>0</v>
      </c>
      <c r="K51" s="2808" t="s">
        <v>2338</v>
      </c>
      <c r="L51" s="2239"/>
      <c r="O51" s="2256" t="s">
        <v>2368</v>
      </c>
      <c r="P51" s="2254" t="s">
        <v>2392</v>
      </c>
      <c r="Q51" s="2255">
        <f ca="1">C31</f>
        <v>0</v>
      </c>
      <c r="R51" s="2254" t="s">
        <v>2365</v>
      </c>
    </row>
    <row r="52" spans="1:18" s="1942" customFormat="1" ht="18" customHeight="1" thickBot="1">
      <c r="A52" s="1978"/>
      <c r="F52" s="1967"/>
      <c r="I52" s="2801" t="s">
        <v>2333</v>
      </c>
      <c r="J52" s="2805">
        <f>IF(J50="",J51,J50+J51-YEAR('数据-取费表'!B3))</f>
        <v>0</v>
      </c>
      <c r="K52" s="2797" t="s">
        <v>2339</v>
      </c>
      <c r="L52" s="2811">
        <f ca="1">C45</f>
        <v>0</v>
      </c>
      <c r="O52" s="2256" t="s">
        <v>2369</v>
      </c>
      <c r="P52" s="2254" t="s">
        <v>2370</v>
      </c>
      <c r="Q52" s="2257" t="e">
        <f ca="1">J59</f>
        <v>#VALUE!</v>
      </c>
      <c r="R52" s="2258"/>
    </row>
    <row r="53" spans="1:18" s="1942" customFormat="1" ht="18" customHeight="1" thickBot="1">
      <c r="A53" s="1978"/>
      <c r="F53" s="1967"/>
      <c r="I53" s="2802" t="s">
        <v>2406</v>
      </c>
      <c r="J53" s="2240"/>
      <c r="K53" s="2802" t="s">
        <v>2405</v>
      </c>
      <c r="L53" s="2240"/>
      <c r="O53" s="2256" t="s">
        <v>2371</v>
      </c>
      <c r="P53" s="2254" t="s">
        <v>2372</v>
      </c>
      <c r="Q53" s="2257">
        <f>J53</f>
        <v>0</v>
      </c>
      <c r="R53" s="2258"/>
    </row>
    <row r="54" spans="1:18" s="1942" customFormat="1" ht="29.25" thickBot="1">
      <c r="A54" s="1978"/>
      <c r="I54" s="2803" t="s">
        <v>2938</v>
      </c>
      <c r="J54" s="2856">
        <f ca="1">IF(M48="住宅",MAX(J52,L49-'数据-取费表'!B20),MIN(J52,L49-'数据-取费表'!B20))</f>
        <v>-2</v>
      </c>
      <c r="K54" s="3594"/>
      <c r="L54" s="3595"/>
      <c r="O54" s="2256" t="s">
        <v>2373</v>
      </c>
      <c r="P54" s="2254" t="s">
        <v>2374</v>
      </c>
      <c r="Q54" s="2255">
        <f ca="1">J54</f>
        <v>-2</v>
      </c>
      <c r="R54" s="2254" t="s">
        <v>2375</v>
      </c>
    </row>
    <row r="55" spans="1:18" s="1942" customFormat="1" ht="18" customHeight="1" thickBot="1">
      <c r="A55" s="1978"/>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3" t="s">
        <v>2376</v>
      </c>
      <c r="P55" s="2254" t="s">
        <v>2393</v>
      </c>
      <c r="Q55" s="2255">
        <f ca="1">Q49+Q50</f>
        <v>0</v>
      </c>
      <c r="R55" s="2258" t="s">
        <v>2377</v>
      </c>
    </row>
    <row r="56" spans="1:18" s="1942" customFormat="1" ht="16.5" thickBot="1">
      <c r="A56" s="1978"/>
      <c r="B56" s="1979"/>
      <c r="C56" s="1979"/>
      <c r="I56" s="2814" t="s">
        <v>2340</v>
      </c>
      <c r="J56" s="2786" t="e">
        <f ca="1">ROUND(IF(J48="钢混",J58/J51,1-(1-2%)*(J51-J58)/J51),3)</f>
        <v>#VALUE!</v>
      </c>
      <c r="K56" s="2815" t="s">
        <v>2341</v>
      </c>
      <c r="L56" s="2241"/>
      <c r="O56" s="2259" t="s">
        <v>2396</v>
      </c>
      <c r="P56" s="1526"/>
      <c r="Q56" s="1534"/>
      <c r="R56" s="1526"/>
    </row>
    <row r="57" spans="1:18" s="1942" customFormat="1" ht="43.5" thickBot="1">
      <c r="A57" s="1978"/>
      <c r="B57" s="1979"/>
      <c r="C57" s="1979"/>
      <c r="I57" s="2816" t="s">
        <v>2342</v>
      </c>
      <c r="J57" s="2826" t="s">
        <v>1669</v>
      </c>
      <c r="K57" s="2797" t="s">
        <v>2347</v>
      </c>
      <c r="L57" s="1822">
        <f ca="1">IF(L49&lt;J52,"——",L49-J52)</f>
        <v>0</v>
      </c>
      <c r="O57" s="2250" t="s">
        <v>2360</v>
      </c>
      <c r="P57" s="2251" t="s">
        <v>2361</v>
      </c>
      <c r="Q57" s="2252" t="s">
        <v>2362</v>
      </c>
      <c r="R57" s="2251" t="s">
        <v>2363</v>
      </c>
    </row>
    <row r="58" spans="1:18" s="1942" customFormat="1" ht="29.25" thickBot="1">
      <c r="A58" s="1978"/>
      <c r="B58" s="1979"/>
      <c r="C58" s="1979"/>
      <c r="I58" s="2817" t="s">
        <v>2343</v>
      </c>
      <c r="J58" s="2818" t="str">
        <f ca="1">IF(OR(M48="住宅",J52&lt;L49,J57="是"),"——",J52-L49)</f>
        <v>——</v>
      </c>
      <c r="K58" s="2797"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7" t="s">
        <v>2344</v>
      </c>
      <c r="J59" s="2787" t="e">
        <f ca="1">IF(J56&lt;0.4,0.4,J56)</f>
        <v>#VALUE!</v>
      </c>
      <c r="K59" s="2797"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7" t="s">
        <v>2345</v>
      </c>
      <c r="J60" s="2818" t="str">
        <f ca="1">IF(OR(M48="住宅",J52&lt;L49,J57="是"),"——",ROUND(C30*J59,0))</f>
        <v>——</v>
      </c>
      <c r="K60" s="2797"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19" t="s">
        <v>2346</v>
      </c>
      <c r="J61" s="2820" t="str">
        <f ca="1">IF(OR(M48="住宅",J52&lt;L49,J57="是"),"0",ROUND(J60/(1+J53)^J54,0))</f>
        <v>0</v>
      </c>
      <c r="K61" s="2821" t="s">
        <v>2351</v>
      </c>
      <c r="L61" s="2820"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2" t="s">
        <v>2352</v>
      </c>
      <c r="J63" s="2823" t="s">
        <v>2353</v>
      </c>
      <c r="K63" s="2823" t="s">
        <v>2354</v>
      </c>
      <c r="L63" s="2823" t="s">
        <v>2335</v>
      </c>
      <c r="M63" s="2824" t="s">
        <v>2906</v>
      </c>
      <c r="O63" s="2256" t="s">
        <v>2373</v>
      </c>
      <c r="P63" s="2254" t="s">
        <v>2381</v>
      </c>
      <c r="Q63" s="2255">
        <f ca="1">L60</f>
        <v>0</v>
      </c>
      <c r="R63" s="2258" t="s">
        <v>2382</v>
      </c>
    </row>
    <row r="64" spans="1:18" s="1942" customFormat="1" ht="15.75" thickBot="1">
      <c r="A64" s="1978"/>
      <c r="B64" s="1979"/>
      <c r="C64" s="1979"/>
      <c r="I64" s="2822" t="s">
        <v>2355</v>
      </c>
      <c r="J64" s="2823">
        <v>70</v>
      </c>
      <c r="K64" s="2823">
        <v>50</v>
      </c>
      <c r="L64" s="2823">
        <v>80</v>
      </c>
      <c r="M64" s="2825">
        <v>0.02</v>
      </c>
      <c r="O64" s="2253" t="s">
        <v>2376</v>
      </c>
      <c r="P64" s="2254" t="s">
        <v>2393</v>
      </c>
      <c r="Q64" s="2255" t="e">
        <f ca="1">Q58+Q59</f>
        <v>#DIV/0!</v>
      </c>
      <c r="R64" s="2258" t="s">
        <v>2377</v>
      </c>
    </row>
    <row r="65" spans="1:18" s="1942" customFormat="1" ht="16.5" thickBot="1">
      <c r="A65" s="1978"/>
      <c r="B65" s="1979"/>
      <c r="C65" s="1979"/>
      <c r="I65" s="2822" t="s">
        <v>2356</v>
      </c>
      <c r="J65" s="2823">
        <v>50</v>
      </c>
      <c r="K65" s="2823">
        <v>35</v>
      </c>
      <c r="L65" s="2823">
        <v>60</v>
      </c>
      <c r="M65" s="835">
        <v>0</v>
      </c>
      <c r="O65" s="2259" t="s">
        <v>2400</v>
      </c>
      <c r="P65" s="1526"/>
      <c r="Q65" s="1534"/>
      <c r="R65" s="1526"/>
    </row>
    <row r="66" spans="1:18" s="1942" customFormat="1" ht="15.75" thickBot="1">
      <c r="A66" s="1978"/>
      <c r="B66" s="1979"/>
      <c r="C66" s="1979"/>
      <c r="I66" s="2822" t="s">
        <v>2357</v>
      </c>
      <c r="J66" s="2823">
        <v>40</v>
      </c>
      <c r="K66" s="2823">
        <v>30</v>
      </c>
      <c r="L66" s="2823">
        <v>50</v>
      </c>
      <c r="M66" s="2825">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6" t="s">
        <v>943</v>
      </c>
      <c r="E1" s="2242" t="s">
        <v>2359</v>
      </c>
      <c r="F1" s="2243">
        <f ca="1">J53</f>
        <v>0</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1"/>
      <c r="D2" s="3262"/>
      <c r="E2" s="3263"/>
      <c r="F2" s="3263"/>
      <c r="G2" s="3257"/>
      <c r="H2" s="1940"/>
      <c r="I2" s="1940"/>
      <c r="J2" s="1940"/>
      <c r="K2" s="1941"/>
      <c r="L2" s="1940"/>
      <c r="M2" s="1940"/>
    </row>
    <row r="3" spans="1:33" ht="18" customHeight="1" thickBot="1">
      <c r="A3" s="822" t="s">
        <v>1718</v>
      </c>
      <c r="B3" s="823">
        <f ca="1">IF(ISERROR(B2*10000/F43),0,ROUND(B2*10000/F43,0))</f>
        <v>0</v>
      </c>
      <c r="C3" s="3261"/>
      <c r="D3" s="3262"/>
      <c r="E3" s="3263"/>
      <c r="F3" s="3263"/>
      <c r="G3" s="3257"/>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1815</v>
      </c>
      <c r="B6" s="3590" t="s">
        <v>2444</v>
      </c>
      <c r="C6" s="773">
        <f ca="1">ROUND(F6*F8*F7*(1-F9)/10000,0)</f>
        <v>0</v>
      </c>
      <c r="D6" s="2350" t="s">
        <v>2443</v>
      </c>
      <c r="E6" s="774" t="s">
        <v>1729</v>
      </c>
      <c r="F6" s="775">
        <f ca="1">INDIRECT("'数据-取费表'!u"&amp;$G$1)</f>
        <v>0</v>
      </c>
      <c r="G6" s="1945"/>
      <c r="H6" s="2357" t="s">
        <v>2449</v>
      </c>
      <c r="I6" s="3590" t="s">
        <v>2444</v>
      </c>
      <c r="J6" s="773">
        <f ca="1">ROUND(M6*M8*M7*(1-M9)/10000,0)</f>
        <v>0</v>
      </c>
      <c r="K6" s="339" t="s">
        <v>1728</v>
      </c>
      <c r="L6" s="774" t="s">
        <v>1729</v>
      </c>
      <c r="M6" s="775">
        <f ca="1">INDIRECT("'数据-取费表'!z"&amp;$G$1)</f>
        <v>0</v>
      </c>
    </row>
    <row r="7" spans="1:33" ht="18" customHeight="1">
      <c r="A7" s="2353"/>
      <c r="B7" s="3591"/>
      <c r="C7" s="778"/>
      <c r="D7" s="779"/>
      <c r="E7" s="774" t="s">
        <v>1730</v>
      </c>
      <c r="F7" s="775">
        <f ca="1">IF(INDIRECT("'数据-取费表'!ah"&amp;$G$1)="",INDIRECT("'数据-取费表'!k"&amp;$G$1),INDIRECT("'数据-取费表'!ah"&amp;$G$1))</f>
        <v>0</v>
      </c>
      <c r="G7" s="1945"/>
      <c r="H7" s="2342"/>
      <c r="I7" s="3591"/>
      <c r="J7" s="778"/>
      <c r="K7" s="779"/>
      <c r="L7" s="774" t="s">
        <v>1730</v>
      </c>
      <c r="M7" s="775">
        <f ca="1">F7</f>
        <v>0</v>
      </c>
    </row>
    <row r="8" spans="1:33" ht="18" customHeight="1">
      <c r="A8" s="2346"/>
      <c r="B8" s="3592"/>
      <c r="C8" s="778"/>
      <c r="D8" s="779"/>
      <c r="E8" s="774" t="s">
        <v>1731</v>
      </c>
      <c r="F8" s="775">
        <f ca="1">INDIRECT("'数据-取费表'!ai"&amp;$G$1)</f>
        <v>0</v>
      </c>
      <c r="G8" s="1945"/>
      <c r="H8" s="2342"/>
      <c r="I8" s="3592"/>
      <c r="J8" s="778"/>
      <c r="K8" s="779"/>
      <c r="L8" s="774" t="s">
        <v>1731</v>
      </c>
      <c r="M8" s="775">
        <f ca="1">INDIRECT("'数据-取费表'!ai"&amp;$G$1)</f>
        <v>0</v>
      </c>
    </row>
    <row r="9" spans="1:33" ht="18" customHeight="1">
      <c r="A9" s="776"/>
      <c r="B9" s="3593"/>
      <c r="C9" s="778"/>
      <c r="D9" s="779"/>
      <c r="E9" s="774" t="s">
        <v>1732</v>
      </c>
      <c r="F9" s="784">
        <f ca="1">INDIRECT("'数据-取费表'!w"&amp;$G$1)</f>
        <v>0</v>
      </c>
      <c r="G9" s="1945"/>
      <c r="H9" s="2358"/>
      <c r="I9" s="3592"/>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2934</v>
      </c>
      <c r="E10" s="2351" t="s">
        <v>2445</v>
      </c>
      <c r="F10" s="2465"/>
      <c r="G10" s="1945"/>
      <c r="H10" s="2414" t="s">
        <v>2450</v>
      </c>
      <c r="I10" s="2419" t="s">
        <v>2440</v>
      </c>
      <c r="J10" s="773">
        <f ca="1">ROUND(IF(M10="押一",J6/12*M11,IF(M10="押二",J6/12*2*M11,IF(M10="押三",J6/12*3*M11,J11*M11))),0)</f>
        <v>0</v>
      </c>
      <c r="K10" s="2354" t="s">
        <v>2934</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2805</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58"/>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58"/>
      <c r="H17" s="1577" t="s">
        <v>1821</v>
      </c>
      <c r="I17" s="774" t="s">
        <v>650</v>
      </c>
      <c r="J17" s="3017">
        <f ca="1">ROUND(IF(AND(项目基本情况!B11="自然人",项目基本情况!B10="北京市"),J6*M17/(1+'数据-取费表'!C42),J18+J19+J20),0)</f>
        <v>0</v>
      </c>
      <c r="K17" s="2338" t="s">
        <v>1744</v>
      </c>
      <c r="L17" s="2337" t="s">
        <v>1745</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58"/>
      <c r="H18" s="1576"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58"/>
      <c r="H20" s="1579" t="s">
        <v>1871</v>
      </c>
      <c r="I20" s="339" t="s">
        <v>1751</v>
      </c>
      <c r="J20" s="54">
        <f ca="1">ROUND(M20*M21/10000,0)</f>
        <v>0</v>
      </c>
      <c r="K20" s="803" t="s">
        <v>1752</v>
      </c>
      <c r="L20" s="774" t="s">
        <v>1753</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58"/>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0</v>
      </c>
    </row>
    <row r="23" spans="1:33" s="1947" customFormat="1" ht="18" customHeight="1">
      <c r="A23" s="1576" t="s">
        <v>1822</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58"/>
      <c r="H23" s="1577"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8.9999999999999998E-4</v>
      </c>
      <c r="D24" s="2423" t="str">
        <f>IF(F23&lt;=1,"销售费用×利率×(建设周期÷2)","销售费用×((1+利率)^(建设周期÷2)-1)")</f>
        <v>销售费用×((1+利率)^(建设周期÷2)-1)</v>
      </c>
      <c r="E24" s="774" t="s">
        <v>1764</v>
      </c>
      <c r="F24" s="808">
        <f ca="1">'数据-取费表'!B40</f>
        <v>4.3499999999999997E-2</v>
      </c>
      <c r="G24" s="3258"/>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1" t="s">
        <v>2801</v>
      </c>
      <c r="J25" s="782">
        <f ca="1">J5-J16</f>
        <v>0</v>
      </c>
      <c r="K25" s="2401" t="s">
        <v>1768</v>
      </c>
      <c r="L25" s="2402"/>
      <c r="M25" s="2403"/>
    </row>
    <row r="26" spans="1:33" ht="18" customHeight="1">
      <c r="A26" s="1576" t="s">
        <v>1822</v>
      </c>
      <c r="B26" s="774" t="s">
        <v>2422</v>
      </c>
      <c r="C26" s="53">
        <f ca="1">ROUND((C19+C20)*F26,0)</f>
        <v>0</v>
      </c>
      <c r="D26" s="801" t="s">
        <v>1769</v>
      </c>
      <c r="E26" s="785" t="s">
        <v>1770</v>
      </c>
      <c r="F26" s="784">
        <f ca="1">INDIRECT("'数据-取费表'!q"&amp;$G$1)</f>
        <v>0</v>
      </c>
      <c r="G26" s="1945"/>
      <c r="H26" s="2355" t="s">
        <v>1771</v>
      </c>
      <c r="I26" s="2112" t="s">
        <v>2806</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5.2400000000000002E-2</v>
      </c>
      <c r="D28" s="801" t="s">
        <v>2287</v>
      </c>
      <c r="E28" s="774" t="s">
        <v>1776</v>
      </c>
      <c r="F28" s="799">
        <f>'数据-取费表'!B41</f>
        <v>5.5000000000000007E-2</v>
      </c>
      <c r="G28" s="3258"/>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58"/>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7">
        <f ca="1">ROUND(IF(AND(项目基本情况!B11="自然人",项目基本情况!B10="北京市"),C6*F31/(1+'数据-取费表'!C42),C32+C33+C34),0)</f>
        <v>0</v>
      </c>
      <c r="D31" s="1893" t="s">
        <v>1783</v>
      </c>
      <c r="E31" s="1891" t="s">
        <v>1784</v>
      </c>
      <c r="F31" s="3016" t="str">
        <f>IF(项目基本情况!B11="企业","——",IF('数据-取费表'!B10="住宅",IF(F6*F7*F8/12/(1+'数据-取费表'!F30)&gt;100000,4%,2.5%),IF(F6*F7*F8/12/(1+'数据-取费表'!F30)&gt;100000,12%,7%)))</f>
        <v>——</v>
      </c>
      <c r="G31" s="1945"/>
      <c r="H31" s="3255" t="s">
        <v>2992</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5.5000000000000007E-2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1" t="s">
        <v>2801</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2925</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59"/>
      <c r="E46" s="3259"/>
      <c r="F46" s="3259"/>
      <c r="I46" s="2233" t="s">
        <v>2328</v>
      </c>
      <c r="J46" s="2234"/>
      <c r="K46" s="2235"/>
      <c r="L46" s="2809" t="e">
        <f ca="1">IF(OR(M47="住宅",D1="土地（套用方法）"),0,IF(L48&gt;J51,L60,J60))</f>
        <v>#DIV/0!</v>
      </c>
      <c r="M46" s="3260"/>
      <c r="O46" s="2249" t="s">
        <v>2395</v>
      </c>
      <c r="P46" s="1526"/>
      <c r="Q46" s="1534"/>
      <c r="R46" s="1526"/>
    </row>
    <row r="47" spans="1:18" s="1942" customFormat="1" ht="18" customHeight="1" thickBot="1">
      <c r="A47" s="2227">
        <v>1</v>
      </c>
      <c r="B47" s="2228" t="s">
        <v>629</v>
      </c>
      <c r="C47" s="2426">
        <f ca="1">C48+C52+C54</f>
        <v>0</v>
      </c>
      <c r="D47" s="3259"/>
      <c r="E47" s="3259"/>
      <c r="F47" s="3259"/>
      <c r="I47" s="2800" t="s">
        <v>2329</v>
      </c>
      <c r="J47" s="2236"/>
      <c r="K47" s="2806" t="s">
        <v>2334</v>
      </c>
      <c r="L47" s="2810">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7" t="s">
        <v>2330</v>
      </c>
      <c r="J48" s="2237"/>
      <c r="K48" s="2807" t="s">
        <v>2336</v>
      </c>
      <c r="L48" s="1822">
        <f ca="1">INDIRECT("'数据-取费表'!f"&amp;$G$1)</f>
        <v>0</v>
      </c>
      <c r="M48" s="3260"/>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7" t="s">
        <v>2331</v>
      </c>
      <c r="J49" s="2238"/>
      <c r="K49" s="2808" t="s">
        <v>2337</v>
      </c>
      <c r="L49" s="2239"/>
      <c r="M49" s="3260"/>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7" t="s">
        <v>2332</v>
      </c>
      <c r="J50" s="2804">
        <f>SUMPRODUCT((I63:I65=J47)*(J62:L62=J48)*(J63:L65))</f>
        <v>0</v>
      </c>
      <c r="K50" s="2808" t="s">
        <v>2338</v>
      </c>
      <c r="L50" s="2239"/>
      <c r="M50" s="3260"/>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1" t="s">
        <v>2333</v>
      </c>
      <c r="J51" s="2805">
        <f>IF(J49="",J50,J49+J50-YEAR('数据-取费表'!B2))</f>
        <v>0</v>
      </c>
      <c r="K51" s="2797" t="s">
        <v>2339</v>
      </c>
      <c r="L51" s="2811">
        <f ca="1">ROUND(-PV(INDIRECT("'数据-取费表'!h"&amp;$G$1),J51,(C39-C13*J36),0),0)</f>
        <v>0</v>
      </c>
      <c r="M51" s="3260"/>
      <c r="O51" s="2256" t="s">
        <v>2369</v>
      </c>
      <c r="P51" s="2254" t="s">
        <v>2370</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2935</v>
      </c>
      <c r="E52" s="2351" t="s">
        <v>2445</v>
      </c>
      <c r="F52" s="2465"/>
      <c r="I52" s="2802" t="s">
        <v>2406</v>
      </c>
      <c r="J52" s="2240"/>
      <c r="K52" s="2802" t="s">
        <v>2405</v>
      </c>
      <c r="L52" s="2240"/>
      <c r="M52" s="3260"/>
      <c r="O52" s="2256" t="s">
        <v>2371</v>
      </c>
      <c r="P52" s="2254" t="s">
        <v>2372</v>
      </c>
      <c r="Q52" s="2257">
        <f>J52</f>
        <v>0</v>
      </c>
      <c r="R52" s="2258"/>
    </row>
    <row r="53" spans="1:18" s="1942" customFormat="1" ht="39.75" customHeight="1" thickBot="1">
      <c r="A53" s="776"/>
      <c r="B53" s="2348" t="s">
        <v>2554</v>
      </c>
      <c r="C53" s="2352"/>
      <c r="D53" s="2354"/>
      <c r="E53" s="2351"/>
      <c r="F53" s="790"/>
      <c r="I53" s="2803" t="s">
        <v>2938</v>
      </c>
      <c r="J53" s="2856">
        <f ca="1">IF(M47="住宅",IF(D1="——",MAX(J51,L48),MAX(J51,L48-'数据-取费表'!B20)),IF(D1="——",MIN(J51,L48),MIN(J51,L48-'数据-取费表'!B20)))</f>
        <v>0</v>
      </c>
      <c r="K53" s="3596" t="s">
        <v>2927</v>
      </c>
      <c r="L53" s="3597"/>
      <c r="M53" s="3260"/>
      <c r="O53" s="2256" t="s">
        <v>2373</v>
      </c>
      <c r="P53" s="2254" t="s">
        <v>2374</v>
      </c>
      <c r="Q53" s="2255">
        <f ca="1">J53</f>
        <v>0</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4" t="s">
        <v>2340</v>
      </c>
      <c r="J55" s="2786" t="e">
        <f ca="1">ROUND(IF(J47="钢混",J57/J50,1-(1-2%)*(J50-J57)/J50),3)</f>
        <v>#DIV/0!</v>
      </c>
      <c r="K55" s="2815" t="s">
        <v>2341</v>
      </c>
      <c r="L55" s="2241"/>
      <c r="M55" s="3260"/>
      <c r="O55" s="2259" t="s">
        <v>2396</v>
      </c>
      <c r="P55" s="1526"/>
      <c r="Q55" s="1534"/>
      <c r="R55" s="1526"/>
    </row>
    <row r="56" spans="1:18" s="1942" customFormat="1" ht="42.75" customHeight="1" thickBot="1">
      <c r="A56" s="1578"/>
      <c r="B56" s="2111" t="s">
        <v>2290</v>
      </c>
      <c r="C56" s="53">
        <f ca="1">C29</f>
        <v>0</v>
      </c>
      <c r="D56" s="2481"/>
      <c r="E56" s="774"/>
      <c r="F56" s="799"/>
      <c r="I56" s="2816" t="s">
        <v>2342</v>
      </c>
      <c r="J56" s="2826"/>
      <c r="K56" s="2797" t="s">
        <v>2347</v>
      </c>
      <c r="L56" s="1822">
        <f ca="1">IF(L48&lt;J51,"——",L48-J51)</f>
        <v>0</v>
      </c>
      <c r="M56" s="3260"/>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7" t="s">
        <v>2343</v>
      </c>
      <c r="J57" s="2818">
        <f ca="1">IF(OR(M47="住宅",J51&lt;L48,J56="是"),"——",J51-L48)</f>
        <v>0</v>
      </c>
      <c r="K57" s="2797" t="s">
        <v>2348</v>
      </c>
      <c r="L57" s="1822">
        <f ca="1">IF(L48&lt;J51,"——",IF(L55="比较法",L49,IF(L55="基准地价",L50,L51)))</f>
        <v>0</v>
      </c>
      <c r="M57" s="3260"/>
      <c r="O57" s="2253" t="s">
        <v>2364</v>
      </c>
      <c r="P57" s="2254" t="s">
        <v>2394</v>
      </c>
      <c r="Q57" s="2255" t="e">
        <f ca="1">C40+J29</f>
        <v>#DIV/0!</v>
      </c>
      <c r="R57" s="2254" t="s">
        <v>2365</v>
      </c>
    </row>
    <row r="58" spans="1:18" s="1942" customFormat="1" ht="28.5" customHeight="1" thickBot="1">
      <c r="A58" s="1577" t="s">
        <v>1815</v>
      </c>
      <c r="B58" s="774" t="s">
        <v>650</v>
      </c>
      <c r="C58" s="3017">
        <f ca="1">ROUND(IF(AND(项目基本情况!B11="自然人",项目基本情况!B10="北京市"),C48*F58/(1+'数据-取费表'!C42),C59+C60+C61),0)</f>
        <v>0</v>
      </c>
      <c r="D58" s="2480" t="s">
        <v>651</v>
      </c>
      <c r="E58" s="2481" t="s">
        <v>684</v>
      </c>
      <c r="F58" s="3016" t="str">
        <f>IF(项目基本情况!B11="企业","——",IF('数据-取费表'!B10="住宅",IF(F48*F49*F50/12/(1+'数据-取费表'!F30)&gt;100000,4%,2.5%),IF(F48*F49*F50/12/(1+'数据-取费表'!F30)&gt;100000,12%,7%)))</f>
        <v>——</v>
      </c>
      <c r="I58" s="2817" t="s">
        <v>2344</v>
      </c>
      <c r="J58" s="2787" t="e">
        <f ca="1">IF(J55&lt;0.4,0.4,J55)</f>
        <v>#DIV/0!</v>
      </c>
      <c r="K58" s="2797" t="s">
        <v>2349</v>
      </c>
      <c r="L58" s="1822" t="e">
        <f ca="1">ROUND(POWER(1+L52,L47-L48)*(POWER(1+L52,L48)-1)/(POWER(1+L52,L47)-1),4)</f>
        <v>#DIV/0!</v>
      </c>
      <c r="M58" s="3260"/>
      <c r="O58" s="2253" t="s">
        <v>2366</v>
      </c>
      <c r="P58" s="2254" t="s">
        <v>2397</v>
      </c>
      <c r="Q58" s="2255" t="e">
        <f ca="1">L60</f>
        <v>#DIV/0!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5.5000000000000007E-2</v>
      </c>
      <c r="I59" s="2817" t="s">
        <v>2345</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19" t="s">
        <v>2346</v>
      </c>
      <c r="J60" s="2820" t="e">
        <f ca="1">IF(OR(M47="住宅",J51&lt;L48,J56="是"),"0",ROUND(J59/(1+J52)^J53,0))</f>
        <v>#DIV/0!</v>
      </c>
      <c r="K60" s="2821" t="s">
        <v>2351</v>
      </c>
      <c r="L60" s="2820" t="e">
        <f ca="1">IF(OR(M47="住宅",L48&lt;J51),0,ROUND(L57*(L58/L59-1),0))</f>
        <v>#DIV/0!</v>
      </c>
      <c r="M60" s="3260"/>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2" t="s">
        <v>2352</v>
      </c>
      <c r="J62" s="2823" t="s">
        <v>2353</v>
      </c>
      <c r="K62" s="2823" t="s">
        <v>2354</v>
      </c>
      <c r="L62" s="2823" t="s">
        <v>2335</v>
      </c>
      <c r="M62" s="2824" t="s">
        <v>2906</v>
      </c>
      <c r="O62" s="2256" t="s">
        <v>2373</v>
      </c>
      <c r="P62" s="2254" t="str">
        <f>K59</f>
        <v>建筑物剩余耐用年限下的土地年期修正系数Kn</v>
      </c>
      <c r="Q62" s="2255" t="e">
        <f ca="1">L59</f>
        <v>#DIV/0!</v>
      </c>
      <c r="R62" s="2258" t="s">
        <v>2382</v>
      </c>
    </row>
    <row r="63" spans="1:18" s="1942" customFormat="1" ht="15.75" thickBot="1">
      <c r="A63" s="1577" t="s">
        <v>1880</v>
      </c>
      <c r="B63" s="774" t="s">
        <v>670</v>
      </c>
      <c r="C63" s="53">
        <f ca="1">ROUND(C56*F63,1)</f>
        <v>0</v>
      </c>
      <c r="D63" s="2481" t="s">
        <v>1794</v>
      </c>
      <c r="E63" s="774" t="s">
        <v>1738</v>
      </c>
      <c r="F63" s="806">
        <f t="shared" ca="1" si="0"/>
        <v>0</v>
      </c>
      <c r="I63" s="2822" t="s">
        <v>2355</v>
      </c>
      <c r="J63" s="2823">
        <v>70</v>
      </c>
      <c r="K63" s="2823">
        <v>50</v>
      </c>
      <c r="L63" s="2823">
        <v>80</v>
      </c>
      <c r="M63" s="2825">
        <v>0.02</v>
      </c>
      <c r="O63" s="2253" t="s">
        <v>2376</v>
      </c>
      <c r="P63" s="2254" t="s">
        <v>2393</v>
      </c>
      <c r="Q63" s="2255" t="e">
        <f ca="1">Q57+Q58</f>
        <v>#DIV/0!</v>
      </c>
      <c r="R63" s="2258" t="s">
        <v>2377</v>
      </c>
    </row>
    <row r="64" spans="1:18" s="1942" customFormat="1" ht="16.5" thickBot="1">
      <c r="A64" s="1577" t="s">
        <v>1881</v>
      </c>
      <c r="B64" s="774" t="s">
        <v>673</v>
      </c>
      <c r="C64" s="53">
        <f ca="1">ROUND(C55*F64,1)</f>
        <v>0</v>
      </c>
      <c r="D64" s="2481" t="s">
        <v>674</v>
      </c>
      <c r="E64" s="774" t="s">
        <v>1738</v>
      </c>
      <c r="F64" s="807">
        <f t="shared" ca="1" si="0"/>
        <v>0</v>
      </c>
      <c r="I64" s="2822" t="s">
        <v>2356</v>
      </c>
      <c r="J64" s="2823">
        <v>50</v>
      </c>
      <c r="K64" s="2823">
        <v>35</v>
      </c>
      <c r="L64" s="2823">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v>
      </c>
      <c r="I65" s="2822" t="s">
        <v>2357</v>
      </c>
      <c r="J65" s="2823">
        <v>40</v>
      </c>
      <c r="K65" s="2823">
        <v>30</v>
      </c>
      <c r="L65" s="2823">
        <v>50</v>
      </c>
      <c r="M65" s="2825">
        <v>0.02</v>
      </c>
      <c r="O65" s="2250" t="s">
        <v>2360</v>
      </c>
      <c r="P65" s="2251" t="s">
        <v>2361</v>
      </c>
      <c r="Q65" s="2252" t="s">
        <v>2362</v>
      </c>
      <c r="R65" s="2251" t="s">
        <v>2363</v>
      </c>
    </row>
    <row r="66" spans="1:18" s="1942" customFormat="1" ht="24.75" thickBot="1">
      <c r="A66" s="787" t="s">
        <v>1767</v>
      </c>
      <c r="B66" s="2722" t="s">
        <v>2801</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14" t="s">
        <v>2452</v>
      </c>
      <c r="B1" s="3615"/>
      <c r="C1" s="3616"/>
      <c r="D1" s="3617">
        <f>SUM(I10,I15,I20,I21,I23)</f>
        <v>0</v>
      </c>
      <c r="E1" s="3617"/>
      <c r="F1" s="3617"/>
      <c r="G1" s="3617"/>
      <c r="H1" s="3617"/>
      <c r="I1" s="3618"/>
    </row>
    <row r="2" spans="1:9">
      <c r="A2" s="3604" t="s">
        <v>2453</v>
      </c>
      <c r="B2" s="3605" t="s">
        <v>2454</v>
      </c>
      <c r="C2" s="3605"/>
      <c r="D2" s="2360" t="s">
        <v>2455</v>
      </c>
      <c r="E2" s="2360" t="s">
        <v>2456</v>
      </c>
      <c r="F2" s="2360" t="s">
        <v>2457</v>
      </c>
      <c r="G2" s="2360" t="s">
        <v>2458</v>
      </c>
      <c r="H2" s="2360" t="s">
        <v>2459</v>
      </c>
      <c r="I2" s="2361" t="s">
        <v>2460</v>
      </c>
    </row>
    <row r="3" spans="1:9">
      <c r="A3" s="3604"/>
      <c r="B3" s="3605" t="s">
        <v>2461</v>
      </c>
      <c r="C3" s="3605"/>
      <c r="D3" s="2362"/>
      <c r="E3" s="2360"/>
      <c r="F3" s="2363"/>
      <c r="G3" s="2363"/>
      <c r="H3" s="2364"/>
      <c r="I3" s="2365">
        <f>ROUND(D3*E3*F3*G3*H3/10000,0)</f>
        <v>0</v>
      </c>
    </row>
    <row r="4" spans="1:9">
      <c r="A4" s="3604"/>
      <c r="B4" s="3605" t="s">
        <v>2462</v>
      </c>
      <c r="C4" s="3605"/>
      <c r="D4" s="2362"/>
      <c r="E4" s="2360"/>
      <c r="F4" s="2363"/>
      <c r="G4" s="2363"/>
      <c r="H4" s="2364"/>
      <c r="I4" s="2365">
        <f t="shared" ref="I4:I9" si="0">ROUND(D4*E4*F4*G4*H4/10000,0)</f>
        <v>0</v>
      </c>
    </row>
    <row r="5" spans="1:9">
      <c r="A5" s="3604"/>
      <c r="B5" s="3605" t="s">
        <v>2463</v>
      </c>
      <c r="C5" s="3605"/>
      <c r="D5" s="2362"/>
      <c r="E5" s="2360"/>
      <c r="F5" s="2363"/>
      <c r="G5" s="2363"/>
      <c r="H5" s="2364"/>
      <c r="I5" s="2365">
        <f t="shared" si="0"/>
        <v>0</v>
      </c>
    </row>
    <row r="6" spans="1:9">
      <c r="A6" s="3604"/>
      <c r="B6" s="3605" t="s">
        <v>2464</v>
      </c>
      <c r="C6" s="3605"/>
      <c r="D6" s="2362"/>
      <c r="E6" s="2360"/>
      <c r="F6" s="2363"/>
      <c r="G6" s="2363"/>
      <c r="H6" s="2364"/>
      <c r="I6" s="2365">
        <f t="shared" si="0"/>
        <v>0</v>
      </c>
    </row>
    <row r="7" spans="1:9">
      <c r="A7" s="3604"/>
      <c r="B7" s="3605" t="s">
        <v>2465</v>
      </c>
      <c r="C7" s="3605"/>
      <c r="D7" s="2362"/>
      <c r="E7" s="2360"/>
      <c r="F7" s="2363"/>
      <c r="G7" s="2363"/>
      <c r="H7" s="2364"/>
      <c r="I7" s="2365">
        <f t="shared" si="0"/>
        <v>0</v>
      </c>
    </row>
    <row r="8" spans="1:9">
      <c r="A8" s="3604"/>
      <c r="B8" s="3605" t="s">
        <v>2466</v>
      </c>
      <c r="C8" s="3605"/>
      <c r="D8" s="2362"/>
      <c r="E8" s="2360"/>
      <c r="F8" s="2363"/>
      <c r="G8" s="2363"/>
      <c r="H8" s="2364"/>
      <c r="I8" s="2365">
        <f t="shared" si="0"/>
        <v>0</v>
      </c>
    </row>
    <row r="9" spans="1:9">
      <c r="A9" s="3604"/>
      <c r="B9" s="3605" t="s">
        <v>2467</v>
      </c>
      <c r="C9" s="3605"/>
      <c r="D9" s="2362"/>
      <c r="E9" s="2360"/>
      <c r="F9" s="2363"/>
      <c r="G9" s="2363"/>
      <c r="H9" s="2364"/>
      <c r="I9" s="2365">
        <f t="shared" si="0"/>
        <v>0</v>
      </c>
    </row>
    <row r="10" spans="1:9">
      <c r="A10" s="3604"/>
      <c r="B10" s="3606" t="s">
        <v>2468</v>
      </c>
      <c r="C10" s="3606"/>
      <c r="D10" s="2366">
        <v>527</v>
      </c>
      <c r="E10" s="2366" t="e">
        <f>ROUND(D1*10000/D10/H9,0)</f>
        <v>#DIV/0!</v>
      </c>
      <c r="F10" s="2367"/>
      <c r="G10" s="2367"/>
      <c r="H10" s="2368"/>
      <c r="I10" s="2369">
        <f>SUM(I3:I9)</f>
        <v>0</v>
      </c>
    </row>
    <row r="11" spans="1:9" ht="14.25">
      <c r="A11" s="3604" t="s">
        <v>2469</v>
      </c>
      <c r="B11" s="3605" t="s">
        <v>2470</v>
      </c>
      <c r="C11" s="3605"/>
      <c r="D11" s="2362" t="s">
        <v>2471</v>
      </c>
      <c r="E11" s="2362" t="s">
        <v>2472</v>
      </c>
      <c r="F11" s="2363" t="s">
        <v>2473</v>
      </c>
      <c r="G11" s="2363" t="s">
        <v>2474</v>
      </c>
      <c r="H11" s="2370" t="s">
        <v>2475</v>
      </c>
      <c r="I11" s="2361" t="s">
        <v>2476</v>
      </c>
    </row>
    <row r="12" spans="1:9">
      <c r="A12" s="3604"/>
      <c r="B12" s="3605" t="s">
        <v>2477</v>
      </c>
      <c r="C12" s="3605"/>
      <c r="D12" s="2362"/>
      <c r="E12" s="2362"/>
      <c r="F12" s="2363"/>
      <c r="G12" s="2364"/>
      <c r="H12" s="2371"/>
      <c r="I12" s="2361">
        <f>ROUND(D12*E12*F12*G12/10000,0)</f>
        <v>0</v>
      </c>
    </row>
    <row r="13" spans="1:9">
      <c r="A13" s="3604"/>
      <c r="B13" s="3605" t="s">
        <v>2478</v>
      </c>
      <c r="C13" s="3605"/>
      <c r="D13" s="2362"/>
      <c r="E13" s="2362"/>
      <c r="F13" s="2363"/>
      <c r="G13" s="2364"/>
      <c r="H13" s="2371"/>
      <c r="I13" s="2361">
        <f>ROUND(D13*E13*F13*G13/10000,0)</f>
        <v>0</v>
      </c>
    </row>
    <row r="14" spans="1:9">
      <c r="A14" s="3604"/>
      <c r="B14" s="3605" t="s">
        <v>2479</v>
      </c>
      <c r="C14" s="3605"/>
      <c r="D14" s="2362"/>
      <c r="E14" s="2362"/>
      <c r="F14" s="2363"/>
      <c r="G14" s="2364"/>
      <c r="H14" s="2371"/>
      <c r="I14" s="2361">
        <f>ROUND(D14*E14*F14*G14/10000,0)</f>
        <v>0</v>
      </c>
    </row>
    <row r="15" spans="1:9">
      <c r="A15" s="3604"/>
      <c r="B15" s="3606" t="s">
        <v>2468</v>
      </c>
      <c r="C15" s="3606"/>
      <c r="D15" s="2366"/>
      <c r="E15" s="2366">
        <f>SUM(E12:E14)</f>
        <v>0</v>
      </c>
      <c r="F15" s="2367"/>
      <c r="G15" s="2364"/>
      <c r="H15" s="2371"/>
      <c r="I15" s="2372">
        <f>SUM(I12:I14)</f>
        <v>0</v>
      </c>
    </row>
    <row r="16" spans="1:9" ht="24">
      <c r="A16" s="3604" t="s">
        <v>2480</v>
      </c>
      <c r="B16" s="3605" t="s">
        <v>2481</v>
      </c>
      <c r="C16" s="3605"/>
      <c r="D16" s="2362" t="s">
        <v>2482</v>
      </c>
      <c r="E16" s="2373" t="s">
        <v>2483</v>
      </c>
      <c r="F16" s="2363" t="s">
        <v>2484</v>
      </c>
      <c r="G16" s="2364" t="s">
        <v>2474</v>
      </c>
      <c r="H16" s="2370" t="s">
        <v>2475</v>
      </c>
      <c r="I16" s="2361" t="s">
        <v>2476</v>
      </c>
    </row>
    <row r="17" spans="1:9" ht="14.25">
      <c r="A17" s="3604"/>
      <c r="B17" s="3605" t="s">
        <v>2485</v>
      </c>
      <c r="C17" s="3605"/>
      <c r="D17" s="2362"/>
      <c r="E17" s="2362"/>
      <c r="F17" s="2363"/>
      <c r="G17" s="2364"/>
      <c r="H17" s="2374"/>
      <c r="I17" s="2375">
        <f>ROUND(D17*E17*F17*G17/10000,0)</f>
        <v>0</v>
      </c>
    </row>
    <row r="18" spans="1:9" ht="14.25">
      <c r="A18" s="3604"/>
      <c r="B18" s="3605" t="s">
        <v>2486</v>
      </c>
      <c r="C18" s="3605"/>
      <c r="D18" s="2362"/>
      <c r="E18" s="2362"/>
      <c r="F18" s="2363"/>
      <c r="G18" s="2364"/>
      <c r="H18" s="2374"/>
      <c r="I18" s="2375">
        <f>ROUND(D18*E18*F18*G18/10000,0)</f>
        <v>0</v>
      </c>
    </row>
    <row r="19" spans="1:9" ht="14.25">
      <c r="A19" s="3604"/>
      <c r="B19" s="3605" t="s">
        <v>2487</v>
      </c>
      <c r="C19" s="3605"/>
      <c r="D19" s="2362"/>
      <c r="E19" s="2362"/>
      <c r="F19" s="2363"/>
      <c r="G19" s="2364"/>
      <c r="H19" s="2374"/>
      <c r="I19" s="2375">
        <f>ROUND(D19*E19*F19*G19/10000,0)</f>
        <v>0</v>
      </c>
    </row>
    <row r="20" spans="1:9">
      <c r="A20" s="3604"/>
      <c r="B20" s="3606" t="s">
        <v>2468</v>
      </c>
      <c r="C20" s="3606"/>
      <c r="D20" s="2366">
        <f>SUM(D17:D19)</f>
        <v>0</v>
      </c>
      <c r="E20" s="2366"/>
      <c r="F20" s="2367"/>
      <c r="G20" s="2364"/>
      <c r="H20" s="2371"/>
      <c r="I20" s="2372">
        <f>SUM(I17:I19)</f>
        <v>0</v>
      </c>
    </row>
    <row r="21" spans="1:9">
      <c r="A21" s="3604" t="s">
        <v>2488</v>
      </c>
      <c r="B21" s="3607"/>
      <c r="C21" s="3607"/>
      <c r="D21" s="3607"/>
      <c r="E21" s="3607"/>
      <c r="F21" s="3607"/>
      <c r="G21" s="3607"/>
      <c r="H21" s="2376">
        <v>0.1</v>
      </c>
      <c r="I21" s="2369">
        <f>ROUND(I10*H21,0)</f>
        <v>0</v>
      </c>
    </row>
    <row r="22" spans="1:9" ht="14.25">
      <c r="A22" s="3608" t="s">
        <v>2489</v>
      </c>
      <c r="B22" s="3609"/>
      <c r="C22" s="3610"/>
      <c r="D22" s="2377" t="s">
        <v>2490</v>
      </c>
      <c r="E22" s="2377" t="s">
        <v>2491</v>
      </c>
      <c r="F22" s="2378" t="s">
        <v>2492</v>
      </c>
      <c r="G22" s="2378" t="s">
        <v>2493</v>
      </c>
      <c r="H22" s="2370" t="s">
        <v>2494</v>
      </c>
      <c r="I22" s="2361" t="s">
        <v>2495</v>
      </c>
    </row>
    <row r="23" spans="1:9" ht="14.25" thickBot="1">
      <c r="A23" s="3611"/>
      <c r="B23" s="3612"/>
      <c r="C23" s="3613"/>
      <c r="D23" s="2379"/>
      <c r="E23" s="2379"/>
      <c r="F23" s="2379"/>
      <c r="G23" s="2380"/>
      <c r="H23" s="2381"/>
      <c r="I23" s="2382">
        <f>ROUND(E23*D23*F23*(1-G23)/10000,0)</f>
        <v>0</v>
      </c>
    </row>
    <row r="26" spans="1:9">
      <c r="A26" s="2383" t="s">
        <v>2496</v>
      </c>
      <c r="B26" s="2383"/>
      <c r="C26" s="2383"/>
      <c r="D26" s="2383"/>
      <c r="E26" s="3601">
        <f>C27-C30-C31-C32</f>
        <v>0</v>
      </c>
      <c r="F26" s="3601"/>
      <c r="G26" s="3601"/>
      <c r="H26" s="2754" t="s">
        <v>2822</v>
      </c>
    </row>
    <row r="27" spans="1:9">
      <c r="A27" s="2384">
        <v>1</v>
      </c>
      <c r="B27" s="2385" t="s">
        <v>2497</v>
      </c>
      <c r="C27" s="2385"/>
      <c r="D27" s="2385"/>
      <c r="E27" s="3602"/>
      <c r="F27" s="3602"/>
      <c r="G27" s="3602"/>
    </row>
    <row r="28" spans="1:9">
      <c r="A28" s="2386" t="s">
        <v>2498</v>
      </c>
      <c r="B28" s="2385" t="s">
        <v>2499</v>
      </c>
      <c r="C28" s="2385"/>
      <c r="D28" s="2385"/>
      <c r="E28" s="3602"/>
      <c r="F28" s="3602"/>
      <c r="G28" s="3602"/>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603"/>
      <c r="F32" s="3603"/>
      <c r="G32" s="3603"/>
    </row>
    <row r="33" spans="1:7" hidden="1">
      <c r="A33" s="3598" t="s">
        <v>2507</v>
      </c>
      <c r="B33" s="3599"/>
      <c r="C33" s="3599"/>
      <c r="D33" s="3600"/>
      <c r="E33" s="3601"/>
      <c r="F33" s="3601"/>
      <c r="G33" s="3601"/>
    </row>
    <row r="34" spans="1:7" hidden="1">
      <c r="A34" s="2388">
        <v>1</v>
      </c>
      <c r="B34" s="2385" t="s">
        <v>2508</v>
      </c>
      <c r="C34" s="2385"/>
      <c r="D34" s="2385"/>
      <c r="E34" s="3602"/>
      <c r="F34" s="3602"/>
      <c r="G34" s="3602"/>
    </row>
    <row r="35" spans="1:7" hidden="1">
      <c r="A35" s="2388">
        <v>2</v>
      </c>
      <c r="B35" s="2385" t="s">
        <v>2509</v>
      </c>
      <c r="C35" s="2385"/>
      <c r="D35" s="2385"/>
      <c r="E35" s="3602"/>
      <c r="F35" s="3602"/>
      <c r="G35" s="3602"/>
    </row>
    <row r="36" spans="1:7" hidden="1">
      <c r="A36" s="2388">
        <v>3</v>
      </c>
      <c r="B36" s="2385" t="s">
        <v>2510</v>
      </c>
      <c r="C36" s="2385"/>
      <c r="D36" s="2385"/>
      <c r="E36" s="3602"/>
      <c r="F36" s="3602"/>
      <c r="G36" s="3602"/>
    </row>
    <row r="37" spans="1:7" hidden="1">
      <c r="A37" s="2388">
        <v>4</v>
      </c>
      <c r="B37" s="2385" t="s">
        <v>2511</v>
      </c>
      <c r="C37" s="2385"/>
      <c r="D37" s="2385"/>
      <c r="E37" s="3602"/>
      <c r="F37" s="3602"/>
      <c r="G37" s="3602"/>
    </row>
    <row r="38" spans="1:7" hidden="1">
      <c r="A38" s="3598" t="s">
        <v>2512</v>
      </c>
      <c r="B38" s="3599"/>
      <c r="C38" s="3599"/>
      <c r="D38" s="3600"/>
      <c r="E38" s="3601"/>
      <c r="F38" s="3601"/>
      <c r="G38" s="36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0" t="s">
        <v>1676</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2993</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68">
        <f t="shared" ref="C8:C9" si="0">ROUND(D8*E8/10000,0)</f>
        <v>0</v>
      </c>
      <c r="D8" s="3268">
        <v>0</v>
      </c>
      <c r="E8" s="3269">
        <v>0</v>
      </c>
      <c r="F8" s="741"/>
      <c r="G8" s="742"/>
    </row>
    <row r="9" spans="1:25" s="2064" customFormat="1" ht="13.5" customHeight="1">
      <c r="A9" s="2323" t="s">
        <v>2424</v>
      </c>
      <c r="B9" s="2326" t="s">
        <v>2426</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353</v>
      </c>
      <c r="D12" s="3268">
        <f>'数据-汇总表'!E5</f>
        <v>23553.4</v>
      </c>
      <c r="E12" s="3268">
        <f>'数据-取费表'!B27</f>
        <v>150</v>
      </c>
      <c r="F12" s="746"/>
      <c r="G12" s="749"/>
    </row>
    <row r="13" spans="1:25" s="2064" customFormat="1" ht="13.5" customHeight="1">
      <c r="A13" s="2329" t="s">
        <v>2430</v>
      </c>
      <c r="B13" s="747" t="s">
        <v>606</v>
      </c>
      <c r="C13" s="748">
        <f>ROUND(D13*E13/10000,0)</f>
        <v>0</v>
      </c>
      <c r="D13" s="3268">
        <f>'数据-汇总表'!E6</f>
        <v>0</v>
      </c>
      <c r="E13" s="3268">
        <f>'数据-取费表'!B28</f>
        <v>200</v>
      </c>
      <c r="F13" s="746"/>
      <c r="G13" s="749"/>
    </row>
    <row r="14" spans="1:25" s="2064" customFormat="1" ht="13.5" customHeight="1">
      <c r="A14" s="2323" t="s">
        <v>2424</v>
      </c>
      <c r="B14" s="2328" t="s">
        <v>2427</v>
      </c>
      <c r="C14" s="3270">
        <f t="shared" ref="C14:C15" si="1">ROUND(D14*E14/10000,0)</f>
        <v>0</v>
      </c>
      <c r="D14" s="3268">
        <v>0</v>
      </c>
      <c r="E14" s="3269">
        <v>0</v>
      </c>
      <c r="F14" s="2327"/>
      <c r="G14" s="2330" t="s">
        <v>2432</v>
      </c>
    </row>
    <row r="15" spans="1:25" s="2064" customFormat="1" ht="13.5" customHeight="1">
      <c r="A15" s="2323" t="s">
        <v>2429</v>
      </c>
      <c r="B15" s="2328" t="s">
        <v>2428</v>
      </c>
      <c r="C15" s="3270">
        <f t="shared" si="1"/>
        <v>0</v>
      </c>
      <c r="D15" s="3268">
        <v>0</v>
      </c>
      <c r="E15" s="3269">
        <v>0</v>
      </c>
      <c r="F15" s="2327"/>
      <c r="G15" s="2330" t="s">
        <v>2433</v>
      </c>
    </row>
    <row r="16" spans="1:25" s="2065" customFormat="1" ht="48">
      <c r="A16" s="2323">
        <v>3</v>
      </c>
      <c r="B16" s="739" t="s">
        <v>609</v>
      </c>
      <c r="C16" s="3270">
        <f t="shared" ref="C16" si="2">ROUND(D16*E16/10000,0)</f>
        <v>0</v>
      </c>
      <c r="D16" s="3268">
        <v>0</v>
      </c>
      <c r="E16" s="3269">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0.91800000000000004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21" t="s">
        <v>516</v>
      </c>
      <c r="D4" s="3522"/>
      <c r="E4" s="3546" t="s">
        <v>517</v>
      </c>
      <c r="F4" s="3547"/>
      <c r="G4" s="3521" t="s">
        <v>518</v>
      </c>
      <c r="H4" s="3522"/>
      <c r="I4" s="3521" t="s">
        <v>519</v>
      </c>
      <c r="J4" s="3522"/>
      <c r="K4" s="508" t="s">
        <v>520</v>
      </c>
      <c r="L4" s="2015"/>
      <c r="M4" s="2016"/>
      <c r="N4" s="2016"/>
      <c r="O4" s="2016"/>
      <c r="P4" s="3523" t="s">
        <v>521</v>
      </c>
      <c r="Q4" s="3524"/>
      <c r="R4" s="3509" t="s">
        <v>517</v>
      </c>
      <c r="S4" s="3510"/>
      <c r="T4" s="3509" t="s">
        <v>518</v>
      </c>
      <c r="U4" s="3510"/>
      <c r="V4" s="3529" t="s">
        <v>519</v>
      </c>
      <c r="W4" s="3529"/>
      <c r="X4" s="1501"/>
      <c r="Y4" s="3509" t="s">
        <v>521</v>
      </c>
      <c r="Z4" s="3510"/>
      <c r="AA4" s="3504" t="s">
        <v>517</v>
      </c>
      <c r="AB4" s="3529" t="s">
        <v>518</v>
      </c>
      <c r="AC4" s="3504" t="s">
        <v>519</v>
      </c>
    </row>
    <row r="5" spans="1:29" ht="15">
      <c r="A5" s="509"/>
      <c r="B5" s="510"/>
      <c r="C5" s="3532" t="s">
        <v>2893</v>
      </c>
      <c r="D5" s="3533"/>
      <c r="E5" s="3548" t="s">
        <v>2894</v>
      </c>
      <c r="F5" s="3549"/>
      <c r="G5" s="3532" t="s">
        <v>2895</v>
      </c>
      <c r="H5" s="3533"/>
      <c r="I5" s="3532" t="s">
        <v>2896</v>
      </c>
      <c r="J5" s="3533"/>
      <c r="K5" s="508"/>
      <c r="L5" s="2015"/>
      <c r="M5" s="2016"/>
      <c r="N5" s="2016"/>
      <c r="O5" s="2016"/>
      <c r="P5" s="3525"/>
      <c r="Q5" s="3526"/>
      <c r="R5" s="3511"/>
      <c r="S5" s="3512"/>
      <c r="T5" s="3511"/>
      <c r="U5" s="3512"/>
      <c r="V5" s="3529"/>
      <c r="W5" s="3529"/>
      <c r="X5" s="1501"/>
      <c r="Y5" s="3511"/>
      <c r="Z5" s="3512"/>
      <c r="AA5" s="3505"/>
      <c r="AB5" s="3529"/>
      <c r="AC5" s="3505"/>
    </row>
    <row r="6" spans="1:29" ht="15.75" thickBot="1">
      <c r="A6" s="511"/>
      <c r="B6" s="512"/>
      <c r="C6" s="3530" t="s">
        <v>2897</v>
      </c>
      <c r="D6" s="3531"/>
      <c r="E6" s="3550" t="s">
        <v>2897</v>
      </c>
      <c r="F6" s="3551"/>
      <c r="G6" s="3530" t="s">
        <v>2897</v>
      </c>
      <c r="H6" s="3531"/>
      <c r="I6" s="3530" t="s">
        <v>2897</v>
      </c>
      <c r="J6" s="3531"/>
      <c r="K6" s="508" t="s">
        <v>522</v>
      </c>
      <c r="L6" s="2015"/>
      <c r="M6" s="2016"/>
      <c r="N6" s="2016"/>
      <c r="O6" s="2016"/>
      <c r="P6" s="3527"/>
      <c r="Q6" s="3528"/>
      <c r="R6" s="3511"/>
      <c r="S6" s="3512"/>
      <c r="T6" s="3513"/>
      <c r="U6" s="3514"/>
      <c r="V6" s="3529"/>
      <c r="W6" s="3529"/>
      <c r="X6" s="1501"/>
      <c r="Y6" s="3513"/>
      <c r="Z6" s="3514"/>
      <c r="AA6" s="3506"/>
      <c r="AB6" s="3529"/>
      <c r="AC6" s="3506"/>
    </row>
    <row r="7" spans="1:29" s="1202" customFormat="1" ht="15.75" thickBot="1">
      <c r="A7" s="2628"/>
      <c r="B7" s="2635" t="s">
        <v>523</v>
      </c>
      <c r="C7" s="513">
        <f>'数据-取费表'!B2</f>
        <v>44315</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7" t="s">
        <v>524</v>
      </c>
      <c r="Q7" s="3516"/>
      <c r="R7" s="1502" t="s">
        <v>8</v>
      </c>
      <c r="S7" s="1503">
        <f t="shared" ref="S7:S15" si="0">F7</f>
        <v>0</v>
      </c>
      <c r="T7" s="1502" t="s">
        <v>8</v>
      </c>
      <c r="U7" s="1503">
        <f t="shared" ref="U7:U15" si="1">H7</f>
        <v>0</v>
      </c>
      <c r="V7" s="1502" t="s">
        <v>8</v>
      </c>
      <c r="W7" s="1503">
        <f t="shared" ref="W7:W15" si="2">J7</f>
        <v>0</v>
      </c>
      <c r="X7" s="1504"/>
      <c r="Y7" s="3507" t="s">
        <v>524</v>
      </c>
      <c r="Z7" s="3508"/>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7" t="s">
        <v>527</v>
      </c>
      <c r="Q8" s="3508"/>
      <c r="R8" s="1502" t="s">
        <v>8</v>
      </c>
      <c r="S8" s="1503">
        <f t="shared" si="0"/>
        <v>0</v>
      </c>
      <c r="T8" s="1502" t="s">
        <v>8</v>
      </c>
      <c r="U8" s="1503">
        <f t="shared" si="1"/>
        <v>0</v>
      </c>
      <c r="V8" s="1502" t="s">
        <v>8</v>
      </c>
      <c r="W8" s="1503">
        <f t="shared" si="2"/>
        <v>0</v>
      </c>
      <c r="X8" s="1504"/>
      <c r="Y8" s="3507" t="s">
        <v>527</v>
      </c>
      <c r="Z8" s="3508"/>
      <c r="AA8" s="1505" t="e">
        <f t="shared" ref="AA8:AA46" si="3">D8/F8</f>
        <v>#DIV/0!</v>
      </c>
      <c r="AB8" s="1505" t="e">
        <f t="shared" ref="AB8:AB46" si="4">D8/H8</f>
        <v>#DIV/0!</v>
      </c>
      <c r="AC8" s="1505"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15" t="s">
        <v>529</v>
      </c>
      <c r="Q9" s="1133" t="str">
        <f t="shared" ref="Q9:Q15" si="6">B9</f>
        <v>用途</v>
      </c>
      <c r="R9" s="1502" t="s">
        <v>8</v>
      </c>
      <c r="S9" s="1503">
        <f t="shared" si="0"/>
        <v>100</v>
      </c>
      <c r="T9" s="1502" t="s">
        <v>8</v>
      </c>
      <c r="U9" s="1503">
        <f t="shared" si="1"/>
        <v>100</v>
      </c>
      <c r="V9" s="1502" t="s">
        <v>8</v>
      </c>
      <c r="W9" s="1503">
        <f t="shared" si="2"/>
        <v>100</v>
      </c>
      <c r="X9" s="1504"/>
      <c r="Y9" s="3466"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15"/>
      <c r="Q10" s="1133" t="str">
        <f t="shared" si="6"/>
        <v>土地使用年限（年）</v>
      </c>
      <c r="R10" s="1502" t="s">
        <v>8</v>
      </c>
      <c r="S10" s="1503">
        <f t="shared" si="0"/>
        <v>100</v>
      </c>
      <c r="T10" s="1502" t="s">
        <v>8</v>
      </c>
      <c r="U10" s="1503">
        <f t="shared" si="1"/>
        <v>100</v>
      </c>
      <c r="V10" s="1502" t="s">
        <v>8</v>
      </c>
      <c r="W10" s="1503">
        <f t="shared" si="2"/>
        <v>100</v>
      </c>
      <c r="X10" s="1504"/>
      <c r="Y10" s="3466"/>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15"/>
      <c r="Q11" s="1133" t="str">
        <f t="shared" si="6"/>
        <v>容积率</v>
      </c>
      <c r="R11" s="1502" t="s">
        <v>8</v>
      </c>
      <c r="S11" s="1503" t="e">
        <f t="shared" si="0"/>
        <v>#N/A</v>
      </c>
      <c r="T11" s="1502" t="s">
        <v>8</v>
      </c>
      <c r="U11" s="1503" t="e">
        <f t="shared" si="1"/>
        <v>#N/A</v>
      </c>
      <c r="V11" s="1502" t="s">
        <v>8</v>
      </c>
      <c r="W11" s="1503" t="e">
        <f t="shared" si="2"/>
        <v>#N/A</v>
      </c>
      <c r="X11" s="1504"/>
      <c r="Y11" s="3466"/>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15"/>
      <c r="Q12" s="1133">
        <f t="shared" si="6"/>
        <v>111</v>
      </c>
      <c r="R12" s="1502" t="s">
        <v>8</v>
      </c>
      <c r="S12" s="1503">
        <f t="shared" si="0"/>
        <v>100</v>
      </c>
      <c r="T12" s="1502" t="s">
        <v>8</v>
      </c>
      <c r="U12" s="1503">
        <f t="shared" si="1"/>
        <v>100</v>
      </c>
      <c r="V12" s="1502" t="s">
        <v>8</v>
      </c>
      <c r="W12" s="1503">
        <f t="shared" si="2"/>
        <v>100</v>
      </c>
      <c r="X12" s="1504"/>
      <c r="Y12" s="3466"/>
      <c r="Z12" s="1132">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15"/>
      <c r="Q13" s="1133">
        <f t="shared" si="6"/>
        <v>111</v>
      </c>
      <c r="R13" s="1502" t="s">
        <v>8</v>
      </c>
      <c r="S13" s="1503">
        <f t="shared" si="0"/>
        <v>100</v>
      </c>
      <c r="T13" s="1502" t="s">
        <v>8</v>
      </c>
      <c r="U13" s="1503">
        <f t="shared" si="1"/>
        <v>100</v>
      </c>
      <c r="V13" s="1502" t="s">
        <v>8</v>
      </c>
      <c r="W13" s="1503">
        <f t="shared" si="2"/>
        <v>100</v>
      </c>
      <c r="X13" s="1504"/>
      <c r="Y13" s="3466"/>
      <c r="Z13" s="1132">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15"/>
      <c r="Q14" s="1133">
        <f t="shared" si="6"/>
        <v>111</v>
      </c>
      <c r="R14" s="1502" t="s">
        <v>8</v>
      </c>
      <c r="S14" s="1503">
        <f t="shared" si="0"/>
        <v>100</v>
      </c>
      <c r="T14" s="1502" t="s">
        <v>8</v>
      </c>
      <c r="U14" s="1503">
        <f t="shared" si="1"/>
        <v>100</v>
      </c>
      <c r="V14" s="1502" t="s">
        <v>8</v>
      </c>
      <c r="W14" s="1503">
        <f t="shared" si="2"/>
        <v>100</v>
      </c>
      <c r="X14" s="1504"/>
      <c r="Y14" s="3466"/>
      <c r="Z14" s="1132">
        <f t="shared" si="7"/>
        <v>111</v>
      </c>
      <c r="AA14" s="1505">
        <f t="shared" si="3"/>
        <v>1</v>
      </c>
      <c r="AB14" s="1505">
        <f t="shared" si="4"/>
        <v>1</v>
      </c>
      <c r="AC14" s="1505">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17" t="s">
        <v>534</v>
      </c>
      <c r="Q15" s="1506" t="str">
        <f t="shared" si="6"/>
        <v>商业繁华度</v>
      </c>
      <c r="R15" s="1507" t="s">
        <v>8</v>
      </c>
      <c r="S15" s="1508">
        <f t="shared" si="0"/>
        <v>100</v>
      </c>
      <c r="T15" s="1507" t="s">
        <v>8</v>
      </c>
      <c r="U15" s="1508">
        <f t="shared" si="1"/>
        <v>100</v>
      </c>
      <c r="V15" s="1507" t="s">
        <v>8</v>
      </c>
      <c r="W15" s="1508">
        <f t="shared" si="2"/>
        <v>100</v>
      </c>
      <c r="X15" s="1501"/>
      <c r="Y15" s="3517"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8"/>
      <c r="Q16" s="1506"/>
      <c r="R16" s="1507"/>
      <c r="S16" s="1508"/>
      <c r="T16" s="1507"/>
      <c r="U16" s="1508"/>
      <c r="V16" s="1507"/>
      <c r="W16" s="1508"/>
      <c r="X16" s="1501"/>
      <c r="Y16" s="3518"/>
      <c r="Z16" s="1509"/>
      <c r="AA16" s="1510">
        <v>1</v>
      </c>
      <c r="AB16" s="1510">
        <v>1</v>
      </c>
      <c r="AC16" s="1510">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18"/>
      <c r="Q17" s="1506" t="str">
        <f>B17</f>
        <v>交通便捷度</v>
      </c>
      <c r="R17" s="1507" t="s">
        <v>8</v>
      </c>
      <c r="S17" s="1508">
        <f>F17</f>
        <v>100</v>
      </c>
      <c r="T17" s="1507" t="s">
        <v>8</v>
      </c>
      <c r="U17" s="1508">
        <f>H17</f>
        <v>100</v>
      </c>
      <c r="V17" s="1507" t="s">
        <v>8</v>
      </c>
      <c r="W17" s="1508">
        <f>J17</f>
        <v>100</v>
      </c>
      <c r="X17" s="1501"/>
      <c r="Y17" s="3518"/>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8"/>
      <c r="Q18" s="1506"/>
      <c r="R18" s="1507"/>
      <c r="S18" s="1508"/>
      <c r="T18" s="1507"/>
      <c r="U18" s="1508"/>
      <c r="V18" s="1507"/>
      <c r="W18" s="1508"/>
      <c r="X18" s="1501"/>
      <c r="Y18" s="3518"/>
      <c r="Z18" s="1509"/>
      <c r="AA18" s="1510">
        <v>1</v>
      </c>
      <c r="AB18" s="1510">
        <v>1</v>
      </c>
      <c r="AC18" s="1510">
        <v>1</v>
      </c>
    </row>
    <row r="19" spans="1:29" ht="15">
      <c r="A19" s="526"/>
      <c r="B19" s="2444" t="s">
        <v>2527</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18"/>
      <c r="Q19" s="1506" t="str">
        <f>B19</f>
        <v>公共配套设施</v>
      </c>
      <c r="R19" s="1507" t="s">
        <v>8</v>
      </c>
      <c r="S19" s="1508">
        <f>F19</f>
        <v>100</v>
      </c>
      <c r="T19" s="1507" t="s">
        <v>8</v>
      </c>
      <c r="U19" s="1508">
        <f>H19</f>
        <v>100</v>
      </c>
      <c r="V19" s="1507" t="s">
        <v>8</v>
      </c>
      <c r="W19" s="1508">
        <f>J19</f>
        <v>100</v>
      </c>
      <c r="X19" s="1501"/>
      <c r="Y19" s="3518"/>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18"/>
      <c r="Q20" s="1506"/>
      <c r="R20" s="1507"/>
      <c r="S20" s="1508"/>
      <c r="T20" s="1507"/>
      <c r="U20" s="1508"/>
      <c r="V20" s="1507"/>
      <c r="W20" s="1508"/>
      <c r="X20" s="1501"/>
      <c r="Y20" s="3518"/>
      <c r="Z20" s="1509"/>
      <c r="AA20" s="1510">
        <v>1</v>
      </c>
      <c r="AB20" s="1510">
        <v>1</v>
      </c>
      <c r="AC20" s="1510">
        <v>1</v>
      </c>
    </row>
    <row r="21" spans="1:29" ht="15">
      <c r="A21" s="526"/>
      <c r="B21" s="2437" t="s">
        <v>2539</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18"/>
      <c r="Q21" s="2429" t="str">
        <f>B21</f>
        <v>基础设施水平</v>
      </c>
      <c r="R21" s="1507" t="s">
        <v>8</v>
      </c>
      <c r="S21" s="1508">
        <f>F21</f>
        <v>100</v>
      </c>
      <c r="T21" s="1507" t="s">
        <v>8</v>
      </c>
      <c r="U21" s="1508">
        <f>H21</f>
        <v>100</v>
      </c>
      <c r="V21" s="1507" t="s">
        <v>8</v>
      </c>
      <c r="W21" s="1508">
        <f>J21</f>
        <v>100</v>
      </c>
      <c r="X21" s="2431"/>
      <c r="Y21" s="3518"/>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18"/>
      <c r="Q22" s="2429"/>
      <c r="R22" s="1507"/>
      <c r="S22" s="1508"/>
      <c r="T22" s="1507"/>
      <c r="U22" s="1508"/>
      <c r="V22" s="1507"/>
      <c r="W22" s="1508"/>
      <c r="X22" s="2431"/>
      <c r="Y22" s="3518"/>
      <c r="Z22" s="2430"/>
      <c r="AA22" s="1510">
        <v>1</v>
      </c>
      <c r="AB22" s="1510">
        <v>1</v>
      </c>
      <c r="AC22" s="1510">
        <v>1</v>
      </c>
    </row>
    <row r="23" spans="1:29" ht="15">
      <c r="A23" s="526"/>
      <c r="B23" s="860" t="s">
        <v>297</v>
      </c>
      <c r="C23" s="888"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18"/>
      <c r="Q23" s="1506" t="str">
        <f>B23</f>
        <v>自然及人文环境</v>
      </c>
      <c r="R23" s="1507" t="s">
        <v>8</v>
      </c>
      <c r="S23" s="1508">
        <f>F23</f>
        <v>100</v>
      </c>
      <c r="T23" s="1507" t="s">
        <v>8</v>
      </c>
      <c r="U23" s="1508">
        <f>H23</f>
        <v>100</v>
      </c>
      <c r="V23" s="1507" t="s">
        <v>8</v>
      </c>
      <c r="W23" s="1508">
        <f>J23</f>
        <v>100</v>
      </c>
      <c r="X23" s="1501"/>
      <c r="Y23" s="3518"/>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18"/>
      <c r="Q24" s="1506"/>
      <c r="R24" s="1507"/>
      <c r="S24" s="1508"/>
      <c r="T24" s="1507"/>
      <c r="U24" s="1508"/>
      <c r="V24" s="1507"/>
      <c r="W24" s="1508"/>
      <c r="X24" s="1501"/>
      <c r="Y24" s="3518"/>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18"/>
      <c r="Q25" s="1506" t="str">
        <f t="shared" ref="Q25:Q46" si="11">B25</f>
        <v>临街状况</v>
      </c>
      <c r="R25" s="1507" t="s">
        <v>8</v>
      </c>
      <c r="S25" s="1508">
        <f>F25</f>
        <v>100</v>
      </c>
      <c r="T25" s="1507" t="s">
        <v>8</v>
      </c>
      <c r="U25" s="1508">
        <f>H25</f>
        <v>100</v>
      </c>
      <c r="V25" s="1507" t="s">
        <v>8</v>
      </c>
      <c r="W25" s="1508">
        <f>J25</f>
        <v>100</v>
      </c>
      <c r="X25" s="1501"/>
      <c r="Y25" s="3518"/>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18"/>
      <c r="Q26" s="1506" t="str">
        <f t="shared" si="11"/>
        <v>平面位置/可视性</v>
      </c>
      <c r="R26" s="1507" t="s">
        <v>8</v>
      </c>
      <c r="S26" s="1508">
        <f>F26</f>
        <v>100</v>
      </c>
      <c r="T26" s="1507" t="s">
        <v>8</v>
      </c>
      <c r="U26" s="1508">
        <f>H26</f>
        <v>100</v>
      </c>
      <c r="V26" s="1507" t="s">
        <v>8</v>
      </c>
      <c r="W26" s="1508">
        <f>J26</f>
        <v>100</v>
      </c>
      <c r="X26" s="1501"/>
      <c r="Y26" s="3518"/>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18"/>
      <c r="Q27" s="1133" t="str">
        <f t="shared" si="11"/>
        <v>人流量</v>
      </c>
      <c r="R27" s="1502" t="s">
        <v>8</v>
      </c>
      <c r="S27" s="1503">
        <f>F27</f>
        <v>100</v>
      </c>
      <c r="T27" s="1502" t="s">
        <v>8</v>
      </c>
      <c r="U27" s="1503">
        <f>H27</f>
        <v>100</v>
      </c>
      <c r="V27" s="1502" t="s">
        <v>8</v>
      </c>
      <c r="W27" s="1503">
        <f>J27</f>
        <v>100</v>
      </c>
      <c r="X27" s="1504"/>
      <c r="Y27" s="3518"/>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18"/>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8"/>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18"/>
      <c r="Q29" s="1506">
        <f t="shared" si="11"/>
        <v>111</v>
      </c>
      <c r="R29" s="1507" t="s">
        <v>8</v>
      </c>
      <c r="S29" s="1508">
        <f t="shared" si="12"/>
        <v>100</v>
      </c>
      <c r="T29" s="1507" t="s">
        <v>8</v>
      </c>
      <c r="U29" s="1508">
        <f t="shared" si="13"/>
        <v>100</v>
      </c>
      <c r="V29" s="1507" t="s">
        <v>8</v>
      </c>
      <c r="W29" s="1508">
        <f t="shared" si="14"/>
        <v>100</v>
      </c>
      <c r="X29" s="1501"/>
      <c r="Y29" s="3518"/>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18"/>
      <c r="Q30" s="1506">
        <f t="shared" si="11"/>
        <v>111</v>
      </c>
      <c r="R30" s="1507" t="s">
        <v>8</v>
      </c>
      <c r="S30" s="1508">
        <f t="shared" si="12"/>
        <v>100</v>
      </c>
      <c r="T30" s="1507" t="s">
        <v>8</v>
      </c>
      <c r="U30" s="1508">
        <f t="shared" si="13"/>
        <v>100</v>
      </c>
      <c r="V30" s="1507" t="s">
        <v>8</v>
      </c>
      <c r="W30" s="1508">
        <f t="shared" si="14"/>
        <v>100</v>
      </c>
      <c r="X30" s="1501"/>
      <c r="Y30" s="3518"/>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18"/>
      <c r="Q31" s="1506">
        <f t="shared" si="11"/>
        <v>111</v>
      </c>
      <c r="R31" s="1507" t="s">
        <v>8</v>
      </c>
      <c r="S31" s="1508">
        <f t="shared" si="12"/>
        <v>100</v>
      </c>
      <c r="T31" s="1507" t="s">
        <v>8</v>
      </c>
      <c r="U31" s="1508">
        <f t="shared" si="13"/>
        <v>100</v>
      </c>
      <c r="V31" s="1507" t="s">
        <v>8</v>
      </c>
      <c r="W31" s="1508">
        <f t="shared" si="14"/>
        <v>100</v>
      </c>
      <c r="X31" s="1501"/>
      <c r="Y31" s="3518"/>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9" t="s">
        <v>544</v>
      </c>
      <c r="Q32" s="1506" t="str">
        <f t="shared" si="11"/>
        <v>商业类型</v>
      </c>
      <c r="R32" s="1507" t="s">
        <v>8</v>
      </c>
      <c r="S32" s="1508">
        <f t="shared" si="12"/>
        <v>100</v>
      </c>
      <c r="T32" s="1507" t="s">
        <v>8</v>
      </c>
      <c r="U32" s="1508">
        <f t="shared" si="13"/>
        <v>100</v>
      </c>
      <c r="V32" s="1507" t="s">
        <v>8</v>
      </c>
      <c r="W32" s="1508">
        <f t="shared" si="14"/>
        <v>100</v>
      </c>
      <c r="X32" s="1501"/>
      <c r="Y32" s="3520"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0"/>
      <c r="Q33" s="1535" t="str">
        <f t="shared" si="11"/>
        <v>项目建筑规模</v>
      </c>
      <c r="R33" s="1511" t="s">
        <v>8</v>
      </c>
      <c r="S33" s="1512" t="e">
        <f t="shared" si="12"/>
        <v>#N/A</v>
      </c>
      <c r="T33" s="1511" t="s">
        <v>8</v>
      </c>
      <c r="U33" s="1512" t="e">
        <f t="shared" si="13"/>
        <v>#N/A</v>
      </c>
      <c r="V33" s="1511" t="s">
        <v>8</v>
      </c>
      <c r="W33" s="1512" t="e">
        <f t="shared" si="14"/>
        <v>#N/A</v>
      </c>
      <c r="X33" s="1513"/>
      <c r="Y33" s="3520"/>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20"/>
      <c r="Q34" s="1506" t="str">
        <f t="shared" si="11"/>
        <v>建筑结构</v>
      </c>
      <c r="R34" s="1507" t="s">
        <v>8</v>
      </c>
      <c r="S34" s="1508">
        <f t="shared" si="12"/>
        <v>100</v>
      </c>
      <c r="T34" s="1507" t="s">
        <v>8</v>
      </c>
      <c r="U34" s="1508">
        <f t="shared" si="13"/>
        <v>100</v>
      </c>
      <c r="V34" s="1507" t="s">
        <v>8</v>
      </c>
      <c r="W34" s="1508">
        <f t="shared" si="14"/>
        <v>100</v>
      </c>
      <c r="X34" s="1501"/>
      <c r="Y34" s="3520"/>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0"/>
      <c r="Q35" s="1506" t="str">
        <f t="shared" si="11"/>
        <v>公共部分装修</v>
      </c>
      <c r="R35" s="1507" t="s">
        <v>8</v>
      </c>
      <c r="S35" s="1508">
        <f t="shared" si="12"/>
        <v>100</v>
      </c>
      <c r="T35" s="1507" t="s">
        <v>8</v>
      </c>
      <c r="U35" s="1508">
        <f t="shared" si="13"/>
        <v>100</v>
      </c>
      <c r="V35" s="1507" t="s">
        <v>8</v>
      </c>
      <c r="W35" s="1508">
        <f t="shared" si="14"/>
        <v>100</v>
      </c>
      <c r="X35" s="1501"/>
      <c r="Y35" s="3520"/>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20"/>
      <c r="Q36" s="1506" t="str">
        <f t="shared" si="11"/>
        <v>成新度</v>
      </c>
      <c r="R36" s="1507" t="s">
        <v>8</v>
      </c>
      <c r="S36" s="1508" t="e">
        <f t="shared" si="12"/>
        <v>#N/A</v>
      </c>
      <c r="T36" s="1507" t="s">
        <v>8</v>
      </c>
      <c r="U36" s="1508" t="e">
        <f t="shared" si="13"/>
        <v>#N/A</v>
      </c>
      <c r="V36" s="1507" t="s">
        <v>8</v>
      </c>
      <c r="W36" s="1508" t="e">
        <f t="shared" si="14"/>
        <v>#N/A</v>
      </c>
      <c r="X36" s="1501"/>
      <c r="Y36" s="3520"/>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0"/>
      <c r="Q37" s="1133" t="str">
        <f t="shared" si="11"/>
        <v>市政基础设施</v>
      </c>
      <c r="R37" s="1502" t="s">
        <v>8</v>
      </c>
      <c r="S37" s="1503">
        <f t="shared" si="12"/>
        <v>100</v>
      </c>
      <c r="T37" s="1502" t="s">
        <v>8</v>
      </c>
      <c r="U37" s="1503">
        <f t="shared" si="13"/>
        <v>100</v>
      </c>
      <c r="V37" s="1502" t="s">
        <v>8</v>
      </c>
      <c r="W37" s="1503">
        <f t="shared" si="14"/>
        <v>100</v>
      </c>
      <c r="X37" s="1504"/>
      <c r="Y37" s="3520"/>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0" t="s">
        <v>760</v>
      </c>
      <c r="Q38" s="1506" t="str">
        <f t="shared" si="11"/>
        <v>业态</v>
      </c>
      <c r="R38" s="1507" t="s">
        <v>8</v>
      </c>
      <c r="S38" s="1508">
        <f t="shared" si="12"/>
        <v>100</v>
      </c>
      <c r="T38" s="1507" t="s">
        <v>8</v>
      </c>
      <c r="U38" s="1508">
        <f t="shared" si="13"/>
        <v>100</v>
      </c>
      <c r="V38" s="1507" t="s">
        <v>8</v>
      </c>
      <c r="W38" s="1508">
        <f t="shared" si="14"/>
        <v>100</v>
      </c>
      <c r="X38" s="1501"/>
      <c r="Y38" s="3520"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0"/>
      <c r="Q39" s="1506" t="str">
        <f t="shared" si="11"/>
        <v>层高</v>
      </c>
      <c r="R39" s="1507" t="s">
        <v>8</v>
      </c>
      <c r="S39" s="1508">
        <f t="shared" si="12"/>
        <v>100</v>
      </c>
      <c r="T39" s="1507" t="s">
        <v>8</v>
      </c>
      <c r="U39" s="1508">
        <f t="shared" si="13"/>
        <v>100</v>
      </c>
      <c r="V39" s="1507" t="s">
        <v>8</v>
      </c>
      <c r="W39" s="1508">
        <f t="shared" si="14"/>
        <v>100</v>
      </c>
      <c r="X39" s="1501"/>
      <c r="Y39" s="3520"/>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20"/>
      <c r="Q40" s="1506" t="str">
        <f t="shared" si="11"/>
        <v>单套建筑面积</v>
      </c>
      <c r="R40" s="1507" t="s">
        <v>8</v>
      </c>
      <c r="S40" s="1508">
        <f t="shared" si="12"/>
        <v>100</v>
      </c>
      <c r="T40" s="1507" t="s">
        <v>8</v>
      </c>
      <c r="U40" s="1508">
        <f t="shared" si="13"/>
        <v>100</v>
      </c>
      <c r="V40" s="1507" t="s">
        <v>8</v>
      </c>
      <c r="W40" s="1508">
        <f t="shared" si="14"/>
        <v>100</v>
      </c>
      <c r="X40" s="1501"/>
      <c r="Y40" s="3520"/>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0"/>
      <c r="Q41" s="1535" t="str">
        <f t="shared" si="11"/>
        <v>进深比</v>
      </c>
      <c r="R41" s="1511" t="s">
        <v>8</v>
      </c>
      <c r="S41" s="1512">
        <f t="shared" si="12"/>
        <v>100</v>
      </c>
      <c r="T41" s="1511" t="s">
        <v>8</v>
      </c>
      <c r="U41" s="1512">
        <f t="shared" si="13"/>
        <v>100</v>
      </c>
      <c r="V41" s="1511" t="s">
        <v>8</v>
      </c>
      <c r="W41" s="1512">
        <f t="shared" si="14"/>
        <v>100</v>
      </c>
      <c r="X41" s="1513"/>
      <c r="Y41" s="3520"/>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0"/>
      <c r="Q42" s="1506" t="str">
        <f t="shared" si="11"/>
        <v>内部装修</v>
      </c>
      <c r="R42" s="1507" t="s">
        <v>8</v>
      </c>
      <c r="S42" s="1508">
        <f t="shared" si="12"/>
        <v>100</v>
      </c>
      <c r="T42" s="1507" t="s">
        <v>8</v>
      </c>
      <c r="U42" s="1508">
        <f t="shared" si="13"/>
        <v>100</v>
      </c>
      <c r="V42" s="1507" t="s">
        <v>8</v>
      </c>
      <c r="W42" s="1508">
        <f t="shared" si="14"/>
        <v>100</v>
      </c>
      <c r="X42" s="1501"/>
      <c r="Y42" s="3520"/>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0"/>
      <c r="Q43" s="1506" t="str">
        <f t="shared" si="11"/>
        <v>内部装修维护情况</v>
      </c>
      <c r="R43" s="1507" t="s">
        <v>8</v>
      </c>
      <c r="S43" s="1508">
        <f t="shared" si="12"/>
        <v>100</v>
      </c>
      <c r="T43" s="1507" t="s">
        <v>8</v>
      </c>
      <c r="U43" s="1508">
        <f t="shared" si="13"/>
        <v>100</v>
      </c>
      <c r="V43" s="1507" t="s">
        <v>8</v>
      </c>
      <c r="W43" s="1508">
        <f t="shared" si="14"/>
        <v>100</v>
      </c>
      <c r="X43" s="1501"/>
      <c r="Y43" s="3520"/>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0"/>
      <c r="Q44" s="1133">
        <f t="shared" si="11"/>
        <v>111</v>
      </c>
      <c r="R44" s="1502" t="s">
        <v>8</v>
      </c>
      <c r="S44" s="1503">
        <f t="shared" si="12"/>
        <v>100</v>
      </c>
      <c r="T44" s="1502" t="s">
        <v>8</v>
      </c>
      <c r="U44" s="1503">
        <f t="shared" si="13"/>
        <v>100</v>
      </c>
      <c r="V44" s="1502" t="s">
        <v>8</v>
      </c>
      <c r="W44" s="1503">
        <f t="shared" si="14"/>
        <v>100</v>
      </c>
      <c r="X44" s="1504"/>
      <c r="Y44" s="3520"/>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0"/>
      <c r="Q45" s="1506">
        <f t="shared" si="11"/>
        <v>111</v>
      </c>
      <c r="R45" s="1507" t="s">
        <v>8</v>
      </c>
      <c r="S45" s="1508">
        <f t="shared" si="12"/>
        <v>100</v>
      </c>
      <c r="T45" s="1507" t="s">
        <v>8</v>
      </c>
      <c r="U45" s="1508">
        <f t="shared" si="13"/>
        <v>100</v>
      </c>
      <c r="V45" s="1507" t="s">
        <v>8</v>
      </c>
      <c r="W45" s="1508">
        <f t="shared" si="14"/>
        <v>100</v>
      </c>
      <c r="X45" s="1501"/>
      <c r="Y45" s="3520"/>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19"/>
      <c r="Q46" s="1506">
        <f t="shared" si="11"/>
        <v>111</v>
      </c>
      <c r="R46" s="1507" t="s">
        <v>8</v>
      </c>
      <c r="S46" s="1508">
        <f t="shared" si="12"/>
        <v>100</v>
      </c>
      <c r="T46" s="1507" t="s">
        <v>8</v>
      </c>
      <c r="U46" s="1508">
        <f t="shared" si="13"/>
        <v>100</v>
      </c>
      <c r="V46" s="1507" t="s">
        <v>8</v>
      </c>
      <c r="W46" s="1508">
        <f t="shared" si="14"/>
        <v>100</v>
      </c>
      <c r="X46" s="1501"/>
      <c r="Y46" s="3619"/>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15" t="str">
        <f>A47</f>
        <v>成交单价（元/平方米）</v>
      </c>
      <c r="Q47" s="3515"/>
      <c r="R47" s="3620">
        <f>E47</f>
        <v>0</v>
      </c>
      <c r="S47" s="3620"/>
      <c r="T47" s="3620">
        <f>G47</f>
        <v>0</v>
      </c>
      <c r="U47" s="3620"/>
      <c r="V47" s="3620">
        <f>I47</f>
        <v>0</v>
      </c>
      <c r="W47" s="3620"/>
      <c r="X47" s="1496"/>
      <c r="Y47" s="1515"/>
      <c r="Z47" s="1496"/>
      <c r="AA47" s="1496"/>
      <c r="AB47" s="1496"/>
      <c r="AC47" s="1496"/>
    </row>
    <row r="48" spans="1:29" ht="15.75" thickBot="1">
      <c r="A48" s="609" t="s">
        <v>2740</v>
      </c>
      <c r="B48" s="876"/>
      <c r="C48" s="2476" t="e">
        <f>R49</f>
        <v>#DIV/0!</v>
      </c>
      <c r="D48" s="3012" t="s">
        <v>2967</v>
      </c>
      <c r="E48" s="2477" t="e">
        <f>R48</f>
        <v>#DIV/0!</v>
      </c>
      <c r="F48" s="3013"/>
      <c r="G48" s="2476" t="e">
        <f>T48</f>
        <v>#DIV/0!</v>
      </c>
      <c r="H48" s="3013"/>
      <c r="I48" s="2477" t="e">
        <f>V48</f>
        <v>#DIV/0!</v>
      </c>
      <c r="J48" s="3013"/>
      <c r="K48" s="3021">
        <f>F48+H48+J48</f>
        <v>0</v>
      </c>
      <c r="L48" s="2026"/>
      <c r="M48" s="2027"/>
      <c r="N48" s="2016"/>
      <c r="O48" s="2027"/>
      <c r="P48" s="3515" t="str">
        <f>A48</f>
        <v>比较价格（元/平方米）</v>
      </c>
      <c r="Q48" s="3515"/>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1496"/>
      <c r="Y48" s="1496"/>
      <c r="Z48" s="1496"/>
      <c r="AA48" s="1496"/>
      <c r="AB48" s="1496"/>
      <c r="AC48" s="1496"/>
    </row>
    <row r="49" spans="1:29" ht="15.75" thickBot="1">
      <c r="A49" s="613" t="s">
        <v>2899</v>
      </c>
      <c r="B49" s="614"/>
      <c r="C49" s="2478" t="e">
        <f>R49</f>
        <v>#DIV/0!</v>
      </c>
      <c r="D49" s="2478"/>
      <c r="E49" s="2478"/>
      <c r="F49" s="2478"/>
      <c r="G49" s="2478"/>
      <c r="H49" s="2478"/>
      <c r="I49" s="2478"/>
      <c r="J49" s="2478"/>
      <c r="K49" s="1541"/>
      <c r="L49" s="2026"/>
      <c r="M49" s="2027"/>
      <c r="N49" s="2016"/>
      <c r="O49" s="2027"/>
      <c r="P49" s="3536" t="str">
        <f>A49</f>
        <v>估价对象XX用房的比较价格（楼面单价，元/平方米）</v>
      </c>
      <c r="Q49" s="3537"/>
      <c r="R49" s="3621" t="e">
        <f>IF(F1="售价",ROUND(IF(D48="简单平均",AVERAGE(R48:V48),R48*F48+T48*H48+V48*J48),0),ROUND(IF(D48="简单平均",AVERAGE(R48:V48),R48*F48+T48*H48+V48*J48),1))</f>
        <v>#DIV/0!</v>
      </c>
      <c r="S49" s="3621"/>
      <c r="T49" s="3621"/>
      <c r="U49" s="3621"/>
      <c r="V49" s="3621"/>
      <c r="W49" s="3621"/>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2021-4</v>
      </c>
      <c r="D58" s="2521">
        <f>EDATE(C58,-1)</f>
        <v>44256</v>
      </c>
      <c r="E58" s="2521">
        <f t="shared" ref="E58:O58" si="16">EDATE(D58,-1)</f>
        <v>44228</v>
      </c>
      <c r="F58" s="2521">
        <f t="shared" si="16"/>
        <v>44197</v>
      </c>
      <c r="G58" s="2521">
        <f t="shared" si="16"/>
        <v>44166</v>
      </c>
      <c r="H58" s="2521">
        <f t="shared" si="16"/>
        <v>44136</v>
      </c>
      <c r="I58" s="2521">
        <f t="shared" si="16"/>
        <v>44105</v>
      </c>
      <c r="J58" s="2521">
        <f t="shared" si="16"/>
        <v>44075</v>
      </c>
      <c r="K58" s="2521">
        <f t="shared" si="16"/>
        <v>44044</v>
      </c>
      <c r="L58" s="2521">
        <f t="shared" si="16"/>
        <v>44013</v>
      </c>
      <c r="M58" s="2521">
        <f t="shared" si="16"/>
        <v>43983</v>
      </c>
      <c r="N58" s="2521">
        <f t="shared" si="16"/>
        <v>43952</v>
      </c>
      <c r="O58" s="2521">
        <f t="shared" si="16"/>
        <v>43922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21" t="s">
        <v>516</v>
      </c>
      <c r="D4" s="3522"/>
      <c r="E4" s="3546" t="s">
        <v>517</v>
      </c>
      <c r="F4" s="3547"/>
      <c r="G4" s="3521" t="s">
        <v>518</v>
      </c>
      <c r="H4" s="3522"/>
      <c r="I4" s="3521" t="s">
        <v>519</v>
      </c>
      <c r="J4" s="3522"/>
      <c r="K4" s="508" t="s">
        <v>520</v>
      </c>
      <c r="L4" s="2015"/>
      <c r="M4" s="2016"/>
      <c r="N4" s="2016"/>
      <c r="O4" s="2016"/>
      <c r="P4" s="3622" t="s">
        <v>521</v>
      </c>
      <c r="Q4" s="3524"/>
      <c r="R4" s="3509" t="s">
        <v>517</v>
      </c>
      <c r="S4" s="3510"/>
      <c r="T4" s="3509" t="s">
        <v>518</v>
      </c>
      <c r="U4" s="3510"/>
      <c r="V4" s="3529" t="s">
        <v>519</v>
      </c>
      <c r="W4" s="3529"/>
      <c r="X4" s="1501"/>
      <c r="Y4" s="3509" t="s">
        <v>521</v>
      </c>
      <c r="Z4" s="3510"/>
      <c r="AA4" s="3504" t="s">
        <v>517</v>
      </c>
      <c r="AB4" s="3504" t="s">
        <v>518</v>
      </c>
      <c r="AC4" s="3504" t="s">
        <v>519</v>
      </c>
    </row>
    <row r="5" spans="1:29" ht="15">
      <c r="A5" s="509"/>
      <c r="B5" s="510"/>
      <c r="C5" s="3532" t="s">
        <v>2893</v>
      </c>
      <c r="D5" s="3533"/>
      <c r="E5" s="3548" t="s">
        <v>2894</v>
      </c>
      <c r="F5" s="3549"/>
      <c r="G5" s="3532" t="s">
        <v>2895</v>
      </c>
      <c r="H5" s="3533"/>
      <c r="I5" s="3532" t="s">
        <v>2896</v>
      </c>
      <c r="J5" s="3533"/>
      <c r="K5" s="508"/>
      <c r="L5" s="2015"/>
      <c r="M5" s="2016"/>
      <c r="N5" s="2016"/>
      <c r="O5" s="2016"/>
      <c r="P5" s="3623"/>
      <c r="Q5" s="3526"/>
      <c r="R5" s="3511"/>
      <c r="S5" s="3512"/>
      <c r="T5" s="3511"/>
      <c r="U5" s="3512"/>
      <c r="V5" s="3529"/>
      <c r="W5" s="3529"/>
      <c r="X5" s="1501"/>
      <c r="Y5" s="3511"/>
      <c r="Z5" s="3512"/>
      <c r="AA5" s="3505"/>
      <c r="AB5" s="3505"/>
      <c r="AC5" s="3505"/>
    </row>
    <row r="6" spans="1:29" ht="15.75" thickBot="1">
      <c r="A6" s="511"/>
      <c r="B6" s="512"/>
      <c r="C6" s="3530" t="s">
        <v>2897</v>
      </c>
      <c r="D6" s="3531"/>
      <c r="E6" s="3550" t="s">
        <v>2897</v>
      </c>
      <c r="F6" s="3551"/>
      <c r="G6" s="3530" t="s">
        <v>2897</v>
      </c>
      <c r="H6" s="3531"/>
      <c r="I6" s="3530" t="s">
        <v>2897</v>
      </c>
      <c r="J6" s="3531"/>
      <c r="K6" s="508" t="s">
        <v>522</v>
      </c>
      <c r="L6" s="2015"/>
      <c r="M6" s="2016"/>
      <c r="N6" s="2016"/>
      <c r="O6" s="2016"/>
      <c r="P6" s="3624"/>
      <c r="Q6" s="3528"/>
      <c r="R6" s="3511"/>
      <c r="S6" s="3512"/>
      <c r="T6" s="3513"/>
      <c r="U6" s="3514"/>
      <c r="V6" s="3529"/>
      <c r="W6" s="3529"/>
      <c r="X6" s="1501"/>
      <c r="Y6" s="3513"/>
      <c r="Z6" s="3514"/>
      <c r="AA6" s="3506"/>
      <c r="AB6" s="3506"/>
      <c r="AC6" s="3506"/>
    </row>
    <row r="7" spans="1:29" s="1202" customFormat="1" ht="15.75" thickBot="1">
      <c r="A7" s="2628"/>
      <c r="B7" s="2635" t="s">
        <v>523</v>
      </c>
      <c r="C7" s="513">
        <f>'数据-取费表'!B2</f>
        <v>44315</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16" t="s">
        <v>524</v>
      </c>
      <c r="Q7" s="3516"/>
      <c r="R7" s="1502" t="s">
        <v>8</v>
      </c>
      <c r="S7" s="1503">
        <f t="shared" ref="S7:S15" si="0">F7</f>
        <v>0</v>
      </c>
      <c r="T7" s="1502" t="s">
        <v>8</v>
      </c>
      <c r="U7" s="1503">
        <f t="shared" ref="U7:U15" si="1">H7</f>
        <v>0</v>
      </c>
      <c r="V7" s="1502" t="s">
        <v>8</v>
      </c>
      <c r="W7" s="1503">
        <f t="shared" ref="W7:W15" si="2">J7</f>
        <v>0</v>
      </c>
      <c r="X7" s="1504"/>
      <c r="Y7" s="3507" t="s">
        <v>524</v>
      </c>
      <c r="Z7" s="3508"/>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16" t="s">
        <v>527</v>
      </c>
      <c r="Q8" s="3508"/>
      <c r="R8" s="1502" t="s">
        <v>8</v>
      </c>
      <c r="S8" s="1503">
        <f t="shared" si="0"/>
        <v>0</v>
      </c>
      <c r="T8" s="1502" t="s">
        <v>8</v>
      </c>
      <c r="U8" s="1503">
        <f t="shared" si="1"/>
        <v>0</v>
      </c>
      <c r="V8" s="1502" t="s">
        <v>8</v>
      </c>
      <c r="W8" s="1503">
        <f t="shared" si="2"/>
        <v>0</v>
      </c>
      <c r="X8" s="1504"/>
      <c r="Y8" s="3507" t="s">
        <v>527</v>
      </c>
      <c r="Z8" s="3508"/>
      <c r="AA8" s="1505" t="e">
        <f t="shared" ref="AA8:AA47" si="3">D8/F8</f>
        <v>#DIV/0!</v>
      </c>
      <c r="AB8" s="1505" t="e">
        <f t="shared" ref="AB8:AB47" si="4">D8/H8</f>
        <v>#DIV/0!</v>
      </c>
      <c r="AC8" s="1505"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15" t="s">
        <v>529</v>
      </c>
      <c r="Q9" s="1133" t="str">
        <f t="shared" ref="Q9:Q15" si="6">B9</f>
        <v>用途</v>
      </c>
      <c r="R9" s="1502" t="s">
        <v>8</v>
      </c>
      <c r="S9" s="1503">
        <f t="shared" si="0"/>
        <v>100</v>
      </c>
      <c r="T9" s="1502" t="s">
        <v>8</v>
      </c>
      <c r="U9" s="1503">
        <f t="shared" si="1"/>
        <v>100</v>
      </c>
      <c r="V9" s="1502" t="s">
        <v>8</v>
      </c>
      <c r="W9" s="1503">
        <f t="shared" si="2"/>
        <v>100</v>
      </c>
      <c r="X9" s="1504"/>
      <c r="Y9" s="3466"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15"/>
      <c r="Q10" s="1133" t="str">
        <f t="shared" si="6"/>
        <v>土地使用年限（年）</v>
      </c>
      <c r="R10" s="1502" t="s">
        <v>8</v>
      </c>
      <c r="S10" s="1503">
        <f t="shared" si="0"/>
        <v>100</v>
      </c>
      <c r="T10" s="1502" t="s">
        <v>8</v>
      </c>
      <c r="U10" s="1503">
        <f t="shared" si="1"/>
        <v>100</v>
      </c>
      <c r="V10" s="1502" t="s">
        <v>8</v>
      </c>
      <c r="W10" s="1503">
        <f t="shared" si="2"/>
        <v>100</v>
      </c>
      <c r="X10" s="1504"/>
      <c r="Y10" s="3466"/>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15"/>
      <c r="Q11" s="1133" t="str">
        <f t="shared" si="6"/>
        <v>容积率</v>
      </c>
      <c r="R11" s="1502" t="s">
        <v>8</v>
      </c>
      <c r="S11" s="1503" t="e">
        <f t="shared" si="0"/>
        <v>#N/A</v>
      </c>
      <c r="T11" s="1502" t="s">
        <v>8</v>
      </c>
      <c r="U11" s="1503" t="e">
        <f t="shared" si="1"/>
        <v>#N/A</v>
      </c>
      <c r="V11" s="1502" t="s">
        <v>8</v>
      </c>
      <c r="W11" s="1503" t="e">
        <f t="shared" si="2"/>
        <v>#N/A</v>
      </c>
      <c r="X11" s="1504"/>
      <c r="Y11" s="3466"/>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15"/>
      <c r="Q12" s="1133">
        <f t="shared" si="6"/>
        <v>111</v>
      </c>
      <c r="R12" s="1502" t="s">
        <v>8</v>
      </c>
      <c r="S12" s="1503">
        <f t="shared" si="0"/>
        <v>100</v>
      </c>
      <c r="T12" s="1502" t="s">
        <v>8</v>
      </c>
      <c r="U12" s="1503">
        <f t="shared" si="1"/>
        <v>100</v>
      </c>
      <c r="V12" s="1502" t="s">
        <v>8</v>
      </c>
      <c r="W12" s="1503">
        <f t="shared" si="2"/>
        <v>100</v>
      </c>
      <c r="X12" s="1504"/>
      <c r="Y12" s="3466"/>
      <c r="Z12" s="1132">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15"/>
      <c r="Q13" s="1133">
        <f t="shared" si="6"/>
        <v>111</v>
      </c>
      <c r="R13" s="1502" t="s">
        <v>8</v>
      </c>
      <c r="S13" s="1503">
        <f t="shared" si="0"/>
        <v>100</v>
      </c>
      <c r="T13" s="1502" t="s">
        <v>8</v>
      </c>
      <c r="U13" s="1503">
        <f t="shared" si="1"/>
        <v>100</v>
      </c>
      <c r="V13" s="1502" t="s">
        <v>8</v>
      </c>
      <c r="W13" s="1503">
        <f t="shared" si="2"/>
        <v>100</v>
      </c>
      <c r="X13" s="1504"/>
      <c r="Y13" s="3466"/>
      <c r="Z13" s="1132">
        <f t="shared" si="7"/>
        <v>111</v>
      </c>
      <c r="AA13" s="1505">
        <f t="shared" si="3"/>
        <v>1</v>
      </c>
      <c r="AB13" s="1505">
        <f t="shared" si="4"/>
        <v>1</v>
      </c>
      <c r="AC13" s="1505">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15"/>
      <c r="Q14" s="1133">
        <f t="shared" si="6"/>
        <v>111</v>
      </c>
      <c r="R14" s="1502" t="s">
        <v>8</v>
      </c>
      <c r="S14" s="1503">
        <f t="shared" si="0"/>
        <v>100</v>
      </c>
      <c r="T14" s="1502" t="s">
        <v>8</v>
      </c>
      <c r="U14" s="1503">
        <f t="shared" si="1"/>
        <v>100</v>
      </c>
      <c r="V14" s="1502" t="s">
        <v>8</v>
      </c>
      <c r="W14" s="1503">
        <f t="shared" si="2"/>
        <v>100</v>
      </c>
      <c r="X14" s="1504"/>
      <c r="Y14" s="3466"/>
      <c r="Z14" s="1132">
        <f t="shared" si="7"/>
        <v>111</v>
      </c>
      <c r="AA14" s="1505">
        <f t="shared" si="3"/>
        <v>1</v>
      </c>
      <c r="AB14" s="1505">
        <f t="shared" si="4"/>
        <v>1</v>
      </c>
      <c r="AC14" s="1505">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17" t="s">
        <v>534</v>
      </c>
      <c r="Q15" s="1506" t="str">
        <f t="shared" si="6"/>
        <v>办公集聚程度</v>
      </c>
      <c r="R15" s="1507" t="s">
        <v>8</v>
      </c>
      <c r="S15" s="1508">
        <f t="shared" si="0"/>
        <v>100</v>
      </c>
      <c r="T15" s="1507" t="s">
        <v>8</v>
      </c>
      <c r="U15" s="1508">
        <f t="shared" si="1"/>
        <v>100</v>
      </c>
      <c r="V15" s="1507" t="s">
        <v>8</v>
      </c>
      <c r="W15" s="1508">
        <f t="shared" si="2"/>
        <v>100</v>
      </c>
      <c r="X15" s="1501"/>
      <c r="Y15" s="3517"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18"/>
      <c r="Q16" s="1506"/>
      <c r="R16" s="1507"/>
      <c r="S16" s="1508"/>
      <c r="T16" s="1507"/>
      <c r="U16" s="1508"/>
      <c r="V16" s="1507"/>
      <c r="W16" s="1508"/>
      <c r="X16" s="1501"/>
      <c r="Y16" s="3518"/>
      <c r="Z16" s="1509"/>
      <c r="AA16" s="1510">
        <v>1</v>
      </c>
      <c r="AB16" s="1510">
        <v>1</v>
      </c>
      <c r="AC16" s="1510">
        <v>1</v>
      </c>
    </row>
    <row r="17" spans="1:29" ht="15">
      <c r="A17" s="526"/>
      <c r="B17" s="554" t="s">
        <v>296</v>
      </c>
      <c r="C17" s="567" t="str">
        <f>估价对象房地状况!C6</f>
        <v>较差</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18"/>
      <c r="Q17" s="1506" t="str">
        <f>B17</f>
        <v>交通便捷度</v>
      </c>
      <c r="R17" s="1507" t="s">
        <v>8</v>
      </c>
      <c r="S17" s="1508">
        <f>F17</f>
        <v>100</v>
      </c>
      <c r="T17" s="1507" t="s">
        <v>8</v>
      </c>
      <c r="U17" s="1508">
        <f>H17</f>
        <v>100</v>
      </c>
      <c r="V17" s="1507" t="s">
        <v>8</v>
      </c>
      <c r="W17" s="1508">
        <f>J17</f>
        <v>100</v>
      </c>
      <c r="X17" s="1501"/>
      <c r="Y17" s="3518"/>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18"/>
      <c r="Q18" s="1506"/>
      <c r="R18" s="1507"/>
      <c r="S18" s="1508"/>
      <c r="T18" s="1507"/>
      <c r="U18" s="1508"/>
      <c r="V18" s="1507"/>
      <c r="W18" s="1508"/>
      <c r="X18" s="1501"/>
      <c r="Y18" s="3518"/>
      <c r="Z18" s="1509"/>
      <c r="AA18" s="1510">
        <v>1</v>
      </c>
      <c r="AB18" s="1510">
        <v>1</v>
      </c>
      <c r="AC18" s="1510">
        <v>1</v>
      </c>
    </row>
    <row r="19" spans="1:29" ht="15">
      <c r="A19" s="526"/>
      <c r="B19" s="2447" t="s">
        <v>2527</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18"/>
      <c r="Q19" s="1506" t="str">
        <f>B19</f>
        <v>公共配套设施</v>
      </c>
      <c r="R19" s="1507" t="s">
        <v>8</v>
      </c>
      <c r="S19" s="1508">
        <f>F19</f>
        <v>100</v>
      </c>
      <c r="T19" s="1507" t="s">
        <v>8</v>
      </c>
      <c r="U19" s="1508">
        <f>H19</f>
        <v>100</v>
      </c>
      <c r="V19" s="1507" t="s">
        <v>8</v>
      </c>
      <c r="W19" s="1508">
        <f>J19</f>
        <v>100</v>
      </c>
      <c r="X19" s="1501"/>
      <c r="Y19" s="3518"/>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18"/>
      <c r="Q20" s="1506"/>
      <c r="R20" s="1507"/>
      <c r="S20" s="1508"/>
      <c r="T20" s="1507"/>
      <c r="U20" s="1508"/>
      <c r="V20" s="1507"/>
      <c r="W20" s="1508"/>
      <c r="X20" s="1501"/>
      <c r="Y20" s="3518"/>
      <c r="Z20" s="1509"/>
      <c r="AA20" s="1510">
        <v>1</v>
      </c>
      <c r="AB20" s="1510">
        <v>1</v>
      </c>
      <c r="AC20" s="1510">
        <v>1</v>
      </c>
    </row>
    <row r="21" spans="1:29" ht="15">
      <c r="A21" s="526"/>
      <c r="B21" s="2435" t="s">
        <v>2539</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18"/>
      <c r="Q21" s="2429" t="str">
        <f>B21</f>
        <v>基础设施水平</v>
      </c>
      <c r="R21" s="1507" t="s">
        <v>8</v>
      </c>
      <c r="S21" s="1508">
        <f>F21</f>
        <v>100</v>
      </c>
      <c r="T21" s="1507" t="s">
        <v>8</v>
      </c>
      <c r="U21" s="1508">
        <f>H21</f>
        <v>100</v>
      </c>
      <c r="V21" s="1507" t="s">
        <v>8</v>
      </c>
      <c r="W21" s="1508">
        <f>J21</f>
        <v>100</v>
      </c>
      <c r="X21" s="2431"/>
      <c r="Y21" s="3518"/>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18"/>
      <c r="Q22" s="2429"/>
      <c r="R22" s="1507"/>
      <c r="S22" s="1508"/>
      <c r="T22" s="1507"/>
      <c r="U22" s="1508"/>
      <c r="V22" s="1507"/>
      <c r="W22" s="1508"/>
      <c r="X22" s="2431"/>
      <c r="Y22" s="3518"/>
      <c r="Z22" s="2430"/>
      <c r="AA22" s="1510">
        <v>1</v>
      </c>
      <c r="AB22" s="1510">
        <v>1</v>
      </c>
      <c r="AC22" s="1510">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18"/>
      <c r="Q23" s="1506" t="str">
        <f>B23</f>
        <v>环境质量</v>
      </c>
      <c r="R23" s="1507" t="s">
        <v>8</v>
      </c>
      <c r="S23" s="1508">
        <f>F23</f>
        <v>100</v>
      </c>
      <c r="T23" s="1507" t="s">
        <v>8</v>
      </c>
      <c r="U23" s="1508">
        <f>H23</f>
        <v>100</v>
      </c>
      <c r="V23" s="1507" t="s">
        <v>8</v>
      </c>
      <c r="W23" s="1508">
        <f>J23</f>
        <v>100</v>
      </c>
      <c r="X23" s="1501"/>
      <c r="Y23" s="3518"/>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18"/>
      <c r="Q24" s="1506"/>
      <c r="R24" s="1507"/>
      <c r="S24" s="1508"/>
      <c r="T24" s="1507"/>
      <c r="U24" s="1508"/>
      <c r="V24" s="1507"/>
      <c r="W24" s="1508"/>
      <c r="X24" s="1501"/>
      <c r="Y24" s="3518"/>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18"/>
      <c r="Q25" s="1506" t="str">
        <f>B25</f>
        <v>毗邻道路的类型与等级</v>
      </c>
      <c r="R25" s="1507" t="s">
        <v>8</v>
      </c>
      <c r="S25" s="1508">
        <f>F25</f>
        <v>100</v>
      </c>
      <c r="T25" s="1507" t="s">
        <v>8</v>
      </c>
      <c r="U25" s="1508">
        <f>H25</f>
        <v>100</v>
      </c>
      <c r="V25" s="1507" t="s">
        <v>8</v>
      </c>
      <c r="W25" s="1508">
        <f>J25</f>
        <v>100</v>
      </c>
      <c r="X25" s="1501"/>
      <c r="Y25" s="3518"/>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18"/>
      <c r="Q26" s="1506"/>
      <c r="R26" s="1507"/>
      <c r="S26" s="1508"/>
      <c r="T26" s="1507"/>
      <c r="U26" s="1508"/>
      <c r="V26" s="1507"/>
      <c r="W26" s="1508"/>
      <c r="X26" s="1501"/>
      <c r="Y26" s="3518"/>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18"/>
      <c r="Q27" s="1506" t="str">
        <f t="shared" ref="Q27:Q47" si="11">B27</f>
        <v>楼层</v>
      </c>
      <c r="R27" s="1507" t="s">
        <v>8</v>
      </c>
      <c r="S27" s="1508">
        <f>F27</f>
        <v>100</v>
      </c>
      <c r="T27" s="1507" t="s">
        <v>8</v>
      </c>
      <c r="U27" s="1508">
        <f>H27</f>
        <v>100</v>
      </c>
      <c r="V27" s="1507" t="s">
        <v>8</v>
      </c>
      <c r="W27" s="1508">
        <f>J27</f>
        <v>100</v>
      </c>
      <c r="X27" s="1501"/>
      <c r="Y27" s="3518"/>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18"/>
      <c r="Q28" s="1133" t="str">
        <f t="shared" si="11"/>
        <v>朝向</v>
      </c>
      <c r="R28" s="1502" t="s">
        <v>8</v>
      </c>
      <c r="S28" s="1503">
        <f>F28</f>
        <v>100</v>
      </c>
      <c r="T28" s="1502" t="s">
        <v>8</v>
      </c>
      <c r="U28" s="1503">
        <f>H28</f>
        <v>100</v>
      </c>
      <c r="V28" s="1502" t="s">
        <v>8</v>
      </c>
      <c r="W28" s="1503">
        <f>J28</f>
        <v>100</v>
      </c>
      <c r="X28" s="1504"/>
      <c r="Y28" s="3518"/>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18"/>
      <c r="Q29" s="1506">
        <f t="shared" si="11"/>
        <v>111</v>
      </c>
      <c r="R29" s="1507" t="s">
        <v>8</v>
      </c>
      <c r="S29" s="1508">
        <f t="shared" ref="S29:S47" si="12">F29</f>
        <v>100</v>
      </c>
      <c r="T29" s="1507" t="s">
        <v>8</v>
      </c>
      <c r="U29" s="1508">
        <f t="shared" ref="U29:U47" si="13">H29</f>
        <v>100</v>
      </c>
      <c r="V29" s="1507" t="s">
        <v>8</v>
      </c>
      <c r="W29" s="1508">
        <f t="shared" ref="W29:W47" si="14">J29</f>
        <v>100</v>
      </c>
      <c r="X29" s="1501"/>
      <c r="Y29" s="3518"/>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18"/>
      <c r="Q30" s="1506">
        <f t="shared" si="11"/>
        <v>111</v>
      </c>
      <c r="R30" s="1507" t="s">
        <v>8</v>
      </c>
      <c r="S30" s="1508">
        <f t="shared" si="12"/>
        <v>100</v>
      </c>
      <c r="T30" s="1507" t="s">
        <v>8</v>
      </c>
      <c r="U30" s="1508">
        <f t="shared" si="13"/>
        <v>100</v>
      </c>
      <c r="V30" s="1507" t="s">
        <v>8</v>
      </c>
      <c r="W30" s="1508">
        <f t="shared" si="14"/>
        <v>100</v>
      </c>
      <c r="X30" s="1501"/>
      <c r="Y30" s="3518"/>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18"/>
      <c r="Q31" s="1506">
        <f t="shared" si="11"/>
        <v>111</v>
      </c>
      <c r="R31" s="1507" t="s">
        <v>8</v>
      </c>
      <c r="S31" s="1508">
        <f t="shared" si="12"/>
        <v>100</v>
      </c>
      <c r="T31" s="1507" t="s">
        <v>8</v>
      </c>
      <c r="U31" s="1508">
        <f t="shared" si="13"/>
        <v>100</v>
      </c>
      <c r="V31" s="1507" t="s">
        <v>8</v>
      </c>
      <c r="W31" s="1508">
        <f t="shared" si="14"/>
        <v>100</v>
      </c>
      <c r="X31" s="1501"/>
      <c r="Y31" s="3518"/>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18"/>
      <c r="Q32" s="1506">
        <f t="shared" si="11"/>
        <v>111</v>
      </c>
      <c r="R32" s="1507" t="s">
        <v>8</v>
      </c>
      <c r="S32" s="1508">
        <f t="shared" si="12"/>
        <v>100</v>
      </c>
      <c r="T32" s="1507" t="s">
        <v>8</v>
      </c>
      <c r="U32" s="1508">
        <f t="shared" si="13"/>
        <v>100</v>
      </c>
      <c r="V32" s="1507" t="s">
        <v>8</v>
      </c>
      <c r="W32" s="1508">
        <f t="shared" si="14"/>
        <v>100</v>
      </c>
      <c r="X32" s="1501"/>
      <c r="Y32" s="3518"/>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19" t="s">
        <v>544</v>
      </c>
      <c r="Q33" s="1506" t="str">
        <f t="shared" si="11"/>
        <v>建筑类型</v>
      </c>
      <c r="R33" s="1507" t="s">
        <v>8</v>
      </c>
      <c r="S33" s="1508">
        <f t="shared" si="12"/>
        <v>100</v>
      </c>
      <c r="T33" s="1507" t="s">
        <v>8</v>
      </c>
      <c r="U33" s="1508">
        <f t="shared" si="13"/>
        <v>100</v>
      </c>
      <c r="V33" s="1507" t="s">
        <v>8</v>
      </c>
      <c r="W33" s="1508">
        <f t="shared" si="14"/>
        <v>100</v>
      </c>
      <c r="X33" s="1501"/>
      <c r="Y33" s="3520"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0"/>
      <c r="Q34" s="1535" t="str">
        <f t="shared" si="11"/>
        <v>项目建筑规模</v>
      </c>
      <c r="R34" s="1511" t="s">
        <v>8</v>
      </c>
      <c r="S34" s="1512" t="e">
        <f t="shared" si="12"/>
        <v>#N/A</v>
      </c>
      <c r="T34" s="1511" t="s">
        <v>8</v>
      </c>
      <c r="U34" s="1512" t="e">
        <f t="shared" si="13"/>
        <v>#N/A</v>
      </c>
      <c r="V34" s="1511" t="s">
        <v>8</v>
      </c>
      <c r="W34" s="1512" t="e">
        <f t="shared" si="14"/>
        <v>#N/A</v>
      </c>
      <c r="X34" s="1513"/>
      <c r="Y34" s="3520"/>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0"/>
      <c r="Q35" s="1506" t="str">
        <f t="shared" si="11"/>
        <v>建筑结构</v>
      </c>
      <c r="R35" s="1507" t="s">
        <v>8</v>
      </c>
      <c r="S35" s="1508">
        <f t="shared" si="12"/>
        <v>100</v>
      </c>
      <c r="T35" s="1507" t="s">
        <v>8</v>
      </c>
      <c r="U35" s="1508">
        <f t="shared" si="13"/>
        <v>100</v>
      </c>
      <c r="V35" s="1507" t="s">
        <v>8</v>
      </c>
      <c r="W35" s="1508">
        <f t="shared" si="14"/>
        <v>100</v>
      </c>
      <c r="X35" s="1501"/>
      <c r="Y35" s="3520"/>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0"/>
      <c r="Q36" s="1506" t="str">
        <f t="shared" si="11"/>
        <v>公共部分装修</v>
      </c>
      <c r="R36" s="1507" t="s">
        <v>8</v>
      </c>
      <c r="S36" s="1508">
        <f t="shared" si="12"/>
        <v>100</v>
      </c>
      <c r="T36" s="1507" t="s">
        <v>8</v>
      </c>
      <c r="U36" s="1508">
        <f t="shared" si="13"/>
        <v>100</v>
      </c>
      <c r="V36" s="1507" t="s">
        <v>8</v>
      </c>
      <c r="W36" s="1508">
        <f t="shared" si="14"/>
        <v>100</v>
      </c>
      <c r="X36" s="1501"/>
      <c r="Y36" s="3520"/>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20"/>
      <c r="Q37" s="1506" t="str">
        <f t="shared" si="11"/>
        <v>成新度</v>
      </c>
      <c r="R37" s="1507" t="s">
        <v>8</v>
      </c>
      <c r="S37" s="1508" t="e">
        <f t="shared" si="12"/>
        <v>#N/A</v>
      </c>
      <c r="T37" s="1507" t="s">
        <v>8</v>
      </c>
      <c r="U37" s="1508" t="e">
        <f t="shared" si="13"/>
        <v>#N/A</v>
      </c>
      <c r="V37" s="1507" t="s">
        <v>8</v>
      </c>
      <c r="W37" s="1508" t="e">
        <f t="shared" si="14"/>
        <v>#N/A</v>
      </c>
      <c r="X37" s="1501"/>
      <c r="Y37" s="3520"/>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0"/>
      <c r="Q38" s="1133" t="str">
        <f t="shared" si="11"/>
        <v>写字楼等级</v>
      </c>
      <c r="R38" s="1502" t="s">
        <v>8</v>
      </c>
      <c r="S38" s="1503">
        <f t="shared" si="12"/>
        <v>100</v>
      </c>
      <c r="T38" s="1502" t="s">
        <v>8</v>
      </c>
      <c r="U38" s="1503">
        <f t="shared" si="13"/>
        <v>100</v>
      </c>
      <c r="V38" s="1502" t="s">
        <v>8</v>
      </c>
      <c r="W38" s="1503">
        <f t="shared" si="14"/>
        <v>100</v>
      </c>
      <c r="X38" s="1504"/>
      <c r="Y38" s="3520"/>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0" t="s">
        <v>544</v>
      </c>
      <c r="Q39" s="1506" t="str">
        <f t="shared" si="11"/>
        <v>物业管理</v>
      </c>
      <c r="R39" s="1507" t="s">
        <v>8</v>
      </c>
      <c r="S39" s="1508">
        <f t="shared" si="12"/>
        <v>100</v>
      </c>
      <c r="T39" s="1507" t="s">
        <v>8</v>
      </c>
      <c r="U39" s="1508">
        <f t="shared" si="13"/>
        <v>100</v>
      </c>
      <c r="V39" s="1507" t="s">
        <v>8</v>
      </c>
      <c r="W39" s="1508">
        <f t="shared" si="14"/>
        <v>100</v>
      </c>
      <c r="X39" s="1501"/>
      <c r="Y39" s="3520"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0"/>
      <c r="Q40" s="1506" t="str">
        <f t="shared" si="11"/>
        <v>市政基础设施</v>
      </c>
      <c r="R40" s="1507" t="s">
        <v>8</v>
      </c>
      <c r="S40" s="1508">
        <f t="shared" si="12"/>
        <v>100</v>
      </c>
      <c r="T40" s="1507" t="s">
        <v>8</v>
      </c>
      <c r="U40" s="1508">
        <f t="shared" si="13"/>
        <v>100</v>
      </c>
      <c r="V40" s="1507" t="s">
        <v>8</v>
      </c>
      <c r="W40" s="1508">
        <f t="shared" si="14"/>
        <v>100</v>
      </c>
      <c r="X40" s="1501"/>
      <c r="Y40" s="3520"/>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0"/>
      <c r="Q41" s="1506" t="str">
        <f t="shared" si="11"/>
        <v>层高</v>
      </c>
      <c r="R41" s="1507" t="s">
        <v>8</v>
      </c>
      <c r="S41" s="1508">
        <f t="shared" si="12"/>
        <v>100</v>
      </c>
      <c r="T41" s="1507" t="s">
        <v>8</v>
      </c>
      <c r="U41" s="1508">
        <f t="shared" si="13"/>
        <v>100</v>
      </c>
      <c r="V41" s="1507" t="s">
        <v>8</v>
      </c>
      <c r="W41" s="1508">
        <f t="shared" si="14"/>
        <v>100</v>
      </c>
      <c r="X41" s="1501"/>
      <c r="Y41" s="3520"/>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0"/>
      <c r="Q42" s="1535" t="str">
        <f t="shared" si="11"/>
        <v>单套建筑面积</v>
      </c>
      <c r="R42" s="1511" t="s">
        <v>8</v>
      </c>
      <c r="S42" s="1512">
        <f t="shared" si="12"/>
        <v>100</v>
      </c>
      <c r="T42" s="1511" t="s">
        <v>8</v>
      </c>
      <c r="U42" s="1512">
        <f t="shared" si="13"/>
        <v>100</v>
      </c>
      <c r="V42" s="1511" t="s">
        <v>8</v>
      </c>
      <c r="W42" s="1512">
        <f t="shared" si="14"/>
        <v>100</v>
      </c>
      <c r="X42" s="1513"/>
      <c r="Y42" s="3520"/>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0"/>
      <c r="Q43" s="1506" t="str">
        <f t="shared" si="11"/>
        <v>内部装修</v>
      </c>
      <c r="R43" s="1507" t="s">
        <v>8</v>
      </c>
      <c r="S43" s="1508">
        <f t="shared" si="12"/>
        <v>100</v>
      </c>
      <c r="T43" s="1507" t="s">
        <v>8</v>
      </c>
      <c r="U43" s="1508">
        <f t="shared" si="13"/>
        <v>100</v>
      </c>
      <c r="V43" s="1507" t="s">
        <v>8</v>
      </c>
      <c r="W43" s="1508">
        <f t="shared" si="14"/>
        <v>100</v>
      </c>
      <c r="X43" s="1501"/>
      <c r="Y43" s="3520"/>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0"/>
      <c r="Q44" s="1506" t="str">
        <f t="shared" si="11"/>
        <v>内部装修维护情况</v>
      </c>
      <c r="R44" s="1507" t="s">
        <v>8</v>
      </c>
      <c r="S44" s="1508">
        <f t="shared" si="12"/>
        <v>100</v>
      </c>
      <c r="T44" s="1507" t="s">
        <v>8</v>
      </c>
      <c r="U44" s="1508">
        <f t="shared" si="13"/>
        <v>100</v>
      </c>
      <c r="V44" s="1507" t="s">
        <v>8</v>
      </c>
      <c r="W44" s="1508">
        <f t="shared" si="14"/>
        <v>100</v>
      </c>
      <c r="X44" s="1501"/>
      <c r="Y44" s="3520"/>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0"/>
      <c r="Q45" s="1133">
        <f t="shared" si="11"/>
        <v>111</v>
      </c>
      <c r="R45" s="1502" t="s">
        <v>8</v>
      </c>
      <c r="S45" s="1503">
        <f t="shared" si="12"/>
        <v>100</v>
      </c>
      <c r="T45" s="1502" t="s">
        <v>8</v>
      </c>
      <c r="U45" s="1503">
        <f t="shared" si="13"/>
        <v>100</v>
      </c>
      <c r="V45" s="1502" t="s">
        <v>8</v>
      </c>
      <c r="W45" s="1503">
        <f t="shared" si="14"/>
        <v>100</v>
      </c>
      <c r="X45" s="1504"/>
      <c r="Y45" s="3520"/>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0"/>
      <c r="Q46" s="1506">
        <f t="shared" si="11"/>
        <v>111</v>
      </c>
      <c r="R46" s="1507" t="s">
        <v>8</v>
      </c>
      <c r="S46" s="1508">
        <f t="shared" si="12"/>
        <v>100</v>
      </c>
      <c r="T46" s="1507" t="s">
        <v>8</v>
      </c>
      <c r="U46" s="1508">
        <f t="shared" si="13"/>
        <v>100</v>
      </c>
      <c r="V46" s="1507" t="s">
        <v>8</v>
      </c>
      <c r="W46" s="1508">
        <f t="shared" si="14"/>
        <v>100</v>
      </c>
      <c r="X46" s="1501"/>
      <c r="Y46" s="3520"/>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19"/>
      <c r="Q47" s="1506">
        <f t="shared" si="11"/>
        <v>111</v>
      </c>
      <c r="R47" s="1507" t="s">
        <v>8</v>
      </c>
      <c r="S47" s="1508">
        <f t="shared" si="12"/>
        <v>100</v>
      </c>
      <c r="T47" s="1507" t="s">
        <v>8</v>
      </c>
      <c r="U47" s="1508">
        <f t="shared" si="13"/>
        <v>100</v>
      </c>
      <c r="V47" s="1507" t="s">
        <v>8</v>
      </c>
      <c r="W47" s="1508">
        <f t="shared" si="14"/>
        <v>100</v>
      </c>
      <c r="X47" s="1501"/>
      <c r="Y47" s="3619"/>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37" t="str">
        <f>A48</f>
        <v>成交单价（元/平方米）</v>
      </c>
      <c r="Q48" s="3515"/>
      <c r="R48" s="3620">
        <f>E48</f>
        <v>0</v>
      </c>
      <c r="S48" s="3620"/>
      <c r="T48" s="3620">
        <f>G48</f>
        <v>0</v>
      </c>
      <c r="U48" s="3620"/>
      <c r="V48" s="3620">
        <f>I48</f>
        <v>0</v>
      </c>
      <c r="W48" s="3620"/>
      <c r="X48" s="1496"/>
      <c r="Y48" s="1515"/>
      <c r="Z48" s="1496"/>
      <c r="AA48" s="1496"/>
      <c r="AB48" s="1496"/>
      <c r="AC48" s="1496"/>
    </row>
    <row r="49" spans="1:29" ht="15.75" thickBot="1">
      <c r="A49" s="609" t="s">
        <v>2740</v>
      </c>
      <c r="B49" s="876"/>
      <c r="C49" s="2476" t="e">
        <f>R50</f>
        <v>#DIV/0!</v>
      </c>
      <c r="D49" s="3012" t="s">
        <v>2967</v>
      </c>
      <c r="E49" s="2477" t="e">
        <f>R49</f>
        <v>#DIV/0!</v>
      </c>
      <c r="F49" s="3013"/>
      <c r="G49" s="2476" t="e">
        <f>T49</f>
        <v>#DIV/0!</v>
      </c>
      <c r="H49" s="3013"/>
      <c r="I49" s="2477" t="e">
        <f>V49</f>
        <v>#DIV/0!</v>
      </c>
      <c r="J49" s="3013"/>
      <c r="K49" s="3021">
        <f>F49+H49+J49</f>
        <v>0</v>
      </c>
      <c r="L49" s="2026"/>
      <c r="M49" s="2016"/>
      <c r="N49" s="2016"/>
      <c r="O49" s="2016"/>
      <c r="P49" s="3537" t="str">
        <f>A49</f>
        <v>比较价格（元/平方米）</v>
      </c>
      <c r="Q49" s="3515"/>
      <c r="R49" s="3620" t="e">
        <f>IF(F1="售价",ROUND(PRODUCT(R48,AA7:AA47),0),ROUND(PRODUCT(R48,AA7:AA47),1))</f>
        <v>#DIV/0!</v>
      </c>
      <c r="S49" s="3620"/>
      <c r="T49" s="3620" t="e">
        <f>IF(F1="售价",ROUND(PRODUCT(T48,AB7:AB47),0),ROUND(PRODUCT(T48,AB7:AB47),1))</f>
        <v>#DIV/0!</v>
      </c>
      <c r="U49" s="3620"/>
      <c r="V49" s="3620" t="e">
        <f>IF(F1="售价",ROUND(PRODUCT(V48,AC7:AC47),0),ROUND(PRODUCT(V48,AC7:AC47),1))</f>
        <v>#DIV/0!</v>
      </c>
      <c r="W49" s="3620"/>
      <c r="X49" s="1496"/>
      <c r="Y49" s="1496"/>
      <c r="Z49" s="1496"/>
      <c r="AA49" s="1496"/>
      <c r="AB49" s="1496"/>
      <c r="AC49" s="1496"/>
    </row>
    <row r="50" spans="1:29" ht="15.75" thickBot="1">
      <c r="A50" s="613" t="s">
        <v>2899</v>
      </c>
      <c r="B50" s="614"/>
      <c r="C50" s="2478" t="e">
        <f>R50</f>
        <v>#DIV/0!</v>
      </c>
      <c r="D50" s="2478"/>
      <c r="E50" s="2478"/>
      <c r="F50" s="2478"/>
      <c r="G50" s="2478"/>
      <c r="H50" s="2478"/>
      <c r="I50" s="2478"/>
      <c r="J50" s="2478"/>
      <c r="K50" s="1541"/>
      <c r="L50" s="2026"/>
      <c r="M50" s="2016"/>
      <c r="N50" s="2016"/>
      <c r="O50" s="2016"/>
      <c r="P50" s="3625" t="str">
        <f>A50</f>
        <v>估价对象XX用房的比较价格（楼面单价，元/平方米）</v>
      </c>
      <c r="Q50" s="3537"/>
      <c r="R50" s="3621" t="e">
        <f>IF(F1="售价",ROUND(IF(D49="简单平均",AVERAGE(R49:V49),R49*F49+T49*H49+V49*J49),0),ROUND(IF(D49="简单平均",AVERAGE(R49:V49),R49*F49+T49*H49+V49*J49),1))</f>
        <v>#DIV/0!</v>
      </c>
      <c r="S50" s="3621"/>
      <c r="T50" s="3621"/>
      <c r="U50" s="3621"/>
      <c r="V50" s="3621"/>
      <c r="W50" s="3621"/>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2021-4</v>
      </c>
      <c r="D59" s="2521">
        <f>EDATE(C59,-1)</f>
        <v>44256</v>
      </c>
      <c r="E59" s="2521">
        <f t="shared" ref="E59:O59" si="16">EDATE(D59,-1)</f>
        <v>44228</v>
      </c>
      <c r="F59" s="2521">
        <f t="shared" si="16"/>
        <v>44197</v>
      </c>
      <c r="G59" s="2521">
        <f t="shared" si="16"/>
        <v>44166</v>
      </c>
      <c r="H59" s="2521">
        <f t="shared" si="16"/>
        <v>44136</v>
      </c>
      <c r="I59" s="2521">
        <f t="shared" si="16"/>
        <v>44105</v>
      </c>
      <c r="J59" s="2521">
        <f t="shared" si="16"/>
        <v>44075</v>
      </c>
      <c r="K59" s="2521">
        <f t="shared" si="16"/>
        <v>44044</v>
      </c>
      <c r="L59" s="2521">
        <f t="shared" si="16"/>
        <v>44013</v>
      </c>
      <c r="M59" s="2521">
        <f t="shared" si="16"/>
        <v>43983</v>
      </c>
      <c r="N59" s="2521">
        <f t="shared" si="16"/>
        <v>43952</v>
      </c>
      <c r="O59" s="2521">
        <f t="shared" si="16"/>
        <v>43922</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21" t="s">
        <v>516</v>
      </c>
      <c r="D4" s="3522"/>
      <c r="E4" s="3546" t="s">
        <v>517</v>
      </c>
      <c r="F4" s="3547"/>
      <c r="G4" s="3521" t="s">
        <v>518</v>
      </c>
      <c r="H4" s="3522"/>
      <c r="I4" s="3521" t="s">
        <v>519</v>
      </c>
      <c r="J4" s="3522"/>
      <c r="K4" s="508" t="s">
        <v>520</v>
      </c>
      <c r="L4" s="2015"/>
      <c r="M4" s="2016"/>
      <c r="N4" s="2016"/>
      <c r="O4" s="2016"/>
      <c r="P4" s="3523" t="s">
        <v>521</v>
      </c>
      <c r="Q4" s="3524"/>
      <c r="R4" s="3509" t="s">
        <v>517</v>
      </c>
      <c r="S4" s="3510"/>
      <c r="T4" s="3509" t="s">
        <v>518</v>
      </c>
      <c r="U4" s="3510"/>
      <c r="V4" s="3529" t="s">
        <v>519</v>
      </c>
      <c r="W4" s="3529"/>
      <c r="X4" s="1501"/>
      <c r="Y4" s="3509" t="s">
        <v>521</v>
      </c>
      <c r="Z4" s="3510"/>
      <c r="AA4" s="3504" t="s">
        <v>517</v>
      </c>
      <c r="AB4" s="3505" t="s">
        <v>518</v>
      </c>
      <c r="AC4" s="3504" t="s">
        <v>519</v>
      </c>
    </row>
    <row r="5" spans="1:29" ht="15">
      <c r="A5" s="509"/>
      <c r="B5" s="510"/>
      <c r="C5" s="3532" t="s">
        <v>2893</v>
      </c>
      <c r="D5" s="3533"/>
      <c r="E5" s="3548" t="s">
        <v>2894</v>
      </c>
      <c r="F5" s="3549"/>
      <c r="G5" s="3532" t="s">
        <v>2895</v>
      </c>
      <c r="H5" s="3533"/>
      <c r="I5" s="3532" t="s">
        <v>2896</v>
      </c>
      <c r="J5" s="3533"/>
      <c r="K5" s="508"/>
      <c r="L5" s="2015"/>
      <c r="M5" s="2016"/>
      <c r="N5" s="2016"/>
      <c r="O5" s="2016"/>
      <c r="P5" s="3525"/>
      <c r="Q5" s="3526"/>
      <c r="R5" s="3511"/>
      <c r="S5" s="3512"/>
      <c r="T5" s="3511"/>
      <c r="U5" s="3512"/>
      <c r="V5" s="3529"/>
      <c r="W5" s="3529"/>
      <c r="X5" s="1501"/>
      <c r="Y5" s="3511"/>
      <c r="Z5" s="3512"/>
      <c r="AA5" s="3505"/>
      <c r="AB5" s="3505"/>
      <c r="AC5" s="3505"/>
    </row>
    <row r="6" spans="1:29" ht="15.75" thickBot="1">
      <c r="A6" s="511"/>
      <c r="B6" s="512"/>
      <c r="C6" s="3530" t="s">
        <v>2897</v>
      </c>
      <c r="D6" s="3531"/>
      <c r="E6" s="3550" t="s">
        <v>2897</v>
      </c>
      <c r="F6" s="3551"/>
      <c r="G6" s="3530" t="s">
        <v>2897</v>
      </c>
      <c r="H6" s="3531"/>
      <c r="I6" s="3530" t="s">
        <v>2897</v>
      </c>
      <c r="J6" s="3531"/>
      <c r="K6" s="508" t="s">
        <v>522</v>
      </c>
      <c r="L6" s="2015"/>
      <c r="M6" s="2016"/>
      <c r="N6" s="2016"/>
      <c r="O6" s="2016"/>
      <c r="P6" s="3527"/>
      <c r="Q6" s="3528"/>
      <c r="R6" s="3511"/>
      <c r="S6" s="3512"/>
      <c r="T6" s="3513"/>
      <c r="U6" s="3514"/>
      <c r="V6" s="3529"/>
      <c r="W6" s="3529"/>
      <c r="X6" s="1501"/>
      <c r="Y6" s="3513"/>
      <c r="Z6" s="3514"/>
      <c r="AA6" s="3506"/>
      <c r="AB6" s="3506"/>
      <c r="AC6" s="3506"/>
    </row>
    <row r="7" spans="1:29" s="1202" customFormat="1" ht="15.75" thickBot="1">
      <c r="A7" s="2628"/>
      <c r="B7" s="2635" t="s">
        <v>523</v>
      </c>
      <c r="C7" s="513">
        <f>'数据-取费表'!B2</f>
        <v>44315</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7" t="s">
        <v>524</v>
      </c>
      <c r="Q7" s="3516"/>
      <c r="R7" s="1502" t="s">
        <v>8</v>
      </c>
      <c r="S7" s="1503">
        <f t="shared" ref="S7:S15" si="0">F7</f>
        <v>0</v>
      </c>
      <c r="T7" s="1502" t="s">
        <v>8</v>
      </c>
      <c r="U7" s="1503">
        <f t="shared" ref="U7:U15" si="1">H7</f>
        <v>0</v>
      </c>
      <c r="V7" s="1502" t="s">
        <v>8</v>
      </c>
      <c r="W7" s="1503">
        <f t="shared" ref="W7:W15" si="2">J7</f>
        <v>0</v>
      </c>
      <c r="X7" s="1504"/>
      <c r="Y7" s="3507" t="s">
        <v>524</v>
      </c>
      <c r="Z7" s="3508"/>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7" t="s">
        <v>527</v>
      </c>
      <c r="Q8" s="3508"/>
      <c r="R8" s="1502" t="s">
        <v>8</v>
      </c>
      <c r="S8" s="1503">
        <f t="shared" si="0"/>
        <v>0</v>
      </c>
      <c r="T8" s="1502" t="s">
        <v>8</v>
      </c>
      <c r="U8" s="1503">
        <f t="shared" si="1"/>
        <v>0</v>
      </c>
      <c r="V8" s="1502" t="s">
        <v>8</v>
      </c>
      <c r="W8" s="1503">
        <f t="shared" si="2"/>
        <v>0</v>
      </c>
      <c r="X8" s="1504"/>
      <c r="Y8" s="3507" t="s">
        <v>527</v>
      </c>
      <c r="Z8" s="3508"/>
      <c r="AA8" s="1505" t="e">
        <f t="shared" ref="AA8:AA40" si="3">D8/F8</f>
        <v>#DIV/0!</v>
      </c>
      <c r="AB8" s="1505" t="e">
        <f t="shared" ref="AB8:AB40" si="4">D8/H8</f>
        <v>#DIV/0!</v>
      </c>
      <c r="AC8" s="1505"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15" t="s">
        <v>529</v>
      </c>
      <c r="Q9" s="1133" t="str">
        <f t="shared" ref="Q9:Q15" si="6">B9</f>
        <v>用途</v>
      </c>
      <c r="R9" s="1502" t="s">
        <v>8</v>
      </c>
      <c r="S9" s="1503">
        <f t="shared" si="0"/>
        <v>100</v>
      </c>
      <c r="T9" s="1502" t="s">
        <v>8</v>
      </c>
      <c r="U9" s="1503">
        <f t="shared" si="1"/>
        <v>100</v>
      </c>
      <c r="V9" s="1502" t="s">
        <v>8</v>
      </c>
      <c r="W9" s="1503">
        <f t="shared" si="2"/>
        <v>100</v>
      </c>
      <c r="X9" s="1504"/>
      <c r="Y9" s="3466"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15"/>
      <c r="Q10" s="1133" t="str">
        <f t="shared" si="6"/>
        <v>土地使用年限（年）</v>
      </c>
      <c r="R10" s="1502" t="s">
        <v>8</v>
      </c>
      <c r="S10" s="1503">
        <f t="shared" si="0"/>
        <v>100</v>
      </c>
      <c r="T10" s="1502" t="s">
        <v>8</v>
      </c>
      <c r="U10" s="1503">
        <f t="shared" si="1"/>
        <v>100</v>
      </c>
      <c r="V10" s="1502" t="s">
        <v>8</v>
      </c>
      <c r="W10" s="1503">
        <f t="shared" si="2"/>
        <v>100</v>
      </c>
      <c r="X10" s="1504"/>
      <c r="Y10" s="3466"/>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15"/>
      <c r="Q11" s="1133" t="str">
        <f t="shared" si="6"/>
        <v>容积率</v>
      </c>
      <c r="R11" s="1502" t="s">
        <v>8</v>
      </c>
      <c r="S11" s="1503" t="e">
        <f t="shared" si="0"/>
        <v>#N/A</v>
      </c>
      <c r="T11" s="1502" t="s">
        <v>8</v>
      </c>
      <c r="U11" s="1503" t="e">
        <f t="shared" si="1"/>
        <v>#N/A</v>
      </c>
      <c r="V11" s="1502" t="s">
        <v>8</v>
      </c>
      <c r="W11" s="1503" t="e">
        <f t="shared" si="2"/>
        <v>#N/A</v>
      </c>
      <c r="X11" s="1504"/>
      <c r="Y11" s="3466"/>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15"/>
      <c r="Q12" s="1133">
        <f t="shared" si="6"/>
        <v>111</v>
      </c>
      <c r="R12" s="1502" t="s">
        <v>8</v>
      </c>
      <c r="S12" s="1503">
        <f t="shared" si="0"/>
        <v>100</v>
      </c>
      <c r="T12" s="1502" t="s">
        <v>8</v>
      </c>
      <c r="U12" s="1503">
        <f t="shared" si="1"/>
        <v>100</v>
      </c>
      <c r="V12" s="1502" t="s">
        <v>8</v>
      </c>
      <c r="W12" s="1503">
        <f t="shared" si="2"/>
        <v>100</v>
      </c>
      <c r="X12" s="1504"/>
      <c r="Y12" s="3466"/>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15"/>
      <c r="Q13" s="1133">
        <f t="shared" si="6"/>
        <v>111</v>
      </c>
      <c r="R13" s="1502" t="s">
        <v>8</v>
      </c>
      <c r="S13" s="1503">
        <f t="shared" si="0"/>
        <v>100</v>
      </c>
      <c r="T13" s="1502" t="s">
        <v>8</v>
      </c>
      <c r="U13" s="1503">
        <f t="shared" si="1"/>
        <v>100</v>
      </c>
      <c r="V13" s="1502" t="s">
        <v>8</v>
      </c>
      <c r="W13" s="1503">
        <f t="shared" si="2"/>
        <v>100</v>
      </c>
      <c r="X13" s="1504"/>
      <c r="Y13" s="3466"/>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15"/>
      <c r="Q14" s="1133">
        <f t="shared" si="6"/>
        <v>111</v>
      </c>
      <c r="R14" s="1502" t="s">
        <v>8</v>
      </c>
      <c r="S14" s="1503">
        <f t="shared" si="0"/>
        <v>100</v>
      </c>
      <c r="T14" s="1502" t="s">
        <v>8</v>
      </c>
      <c r="U14" s="1503">
        <f t="shared" si="1"/>
        <v>100</v>
      </c>
      <c r="V14" s="1502" t="s">
        <v>8</v>
      </c>
      <c r="W14" s="1503">
        <f t="shared" si="2"/>
        <v>100</v>
      </c>
      <c r="X14" s="1504"/>
      <c r="Y14" s="3466"/>
      <c r="Z14" s="1132">
        <f t="shared" si="7"/>
        <v>111</v>
      </c>
      <c r="AA14" s="1505">
        <f t="shared" si="3"/>
        <v>1</v>
      </c>
      <c r="AB14" s="1505">
        <f t="shared" si="4"/>
        <v>1</v>
      </c>
      <c r="AC14" s="1505">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17" t="s">
        <v>534</v>
      </c>
      <c r="Q15" s="1506" t="str">
        <f t="shared" si="6"/>
        <v>产业集聚程度</v>
      </c>
      <c r="R15" s="1507" t="s">
        <v>8</v>
      </c>
      <c r="S15" s="1508">
        <f t="shared" si="0"/>
        <v>100</v>
      </c>
      <c r="T15" s="1507" t="s">
        <v>8</v>
      </c>
      <c r="U15" s="1508">
        <f t="shared" si="1"/>
        <v>100</v>
      </c>
      <c r="V15" s="1507" t="s">
        <v>8</v>
      </c>
      <c r="W15" s="1508">
        <f t="shared" si="2"/>
        <v>100</v>
      </c>
      <c r="X15" s="1501"/>
      <c r="Y15" s="3517"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18"/>
      <c r="Q16" s="1506"/>
      <c r="R16" s="1507"/>
      <c r="S16" s="1508"/>
      <c r="T16" s="1507"/>
      <c r="U16" s="1508"/>
      <c r="V16" s="1507"/>
      <c r="W16" s="1508"/>
      <c r="X16" s="1501"/>
      <c r="Y16" s="3518"/>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18"/>
      <c r="Q17" s="1506" t="str">
        <f>B17</f>
        <v>交通便捷度</v>
      </c>
      <c r="R17" s="1507" t="s">
        <v>8</v>
      </c>
      <c r="S17" s="1508">
        <f>F17</f>
        <v>100</v>
      </c>
      <c r="T17" s="1507" t="s">
        <v>8</v>
      </c>
      <c r="U17" s="1508">
        <f>H17</f>
        <v>100</v>
      </c>
      <c r="V17" s="1507" t="s">
        <v>8</v>
      </c>
      <c r="W17" s="1508">
        <f>J17</f>
        <v>100</v>
      </c>
      <c r="X17" s="1501"/>
      <c r="Y17" s="3518"/>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18"/>
      <c r="Q18" s="1506"/>
      <c r="R18" s="1507"/>
      <c r="S18" s="1508"/>
      <c r="T18" s="1507"/>
      <c r="U18" s="1508"/>
      <c r="V18" s="1507"/>
      <c r="W18" s="1508"/>
      <c r="X18" s="1501"/>
      <c r="Y18" s="3518"/>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18"/>
      <c r="Q19" s="1506" t="str">
        <f>B19</f>
        <v>公共配套设施</v>
      </c>
      <c r="R19" s="1507" t="s">
        <v>8</v>
      </c>
      <c r="S19" s="1508">
        <f>F19</f>
        <v>100</v>
      </c>
      <c r="T19" s="1507" t="s">
        <v>8</v>
      </c>
      <c r="U19" s="1508">
        <f>H19</f>
        <v>100</v>
      </c>
      <c r="V19" s="1507" t="s">
        <v>8</v>
      </c>
      <c r="W19" s="1508">
        <f>J19</f>
        <v>100</v>
      </c>
      <c r="X19" s="1501"/>
      <c r="Y19" s="3518"/>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18"/>
      <c r="Q20" s="1506"/>
      <c r="R20" s="1507"/>
      <c r="S20" s="1508"/>
      <c r="T20" s="1507"/>
      <c r="U20" s="1508"/>
      <c r="V20" s="1507"/>
      <c r="W20" s="1508"/>
      <c r="X20" s="1501"/>
      <c r="Y20" s="3518"/>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18"/>
      <c r="Q21" s="2429" t="str">
        <f>B21</f>
        <v>基础设施水平</v>
      </c>
      <c r="R21" s="1507" t="s">
        <v>8</v>
      </c>
      <c r="S21" s="1508">
        <f>F21</f>
        <v>100</v>
      </c>
      <c r="T21" s="1507" t="s">
        <v>8</v>
      </c>
      <c r="U21" s="1508">
        <f>H21</f>
        <v>100</v>
      </c>
      <c r="V21" s="1507" t="s">
        <v>8</v>
      </c>
      <c r="W21" s="1508">
        <f>J21</f>
        <v>100</v>
      </c>
      <c r="X21" s="2431"/>
      <c r="Y21" s="3518"/>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18"/>
      <c r="Q22" s="2429"/>
      <c r="R22" s="1507"/>
      <c r="S22" s="1508"/>
      <c r="T22" s="1507"/>
      <c r="U22" s="1508"/>
      <c r="V22" s="1507"/>
      <c r="W22" s="1508"/>
      <c r="X22" s="2431"/>
      <c r="Y22" s="3518"/>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18"/>
      <c r="Q23" s="1506" t="str">
        <f>B23</f>
        <v>环境质量</v>
      </c>
      <c r="R23" s="1507" t="s">
        <v>8</v>
      </c>
      <c r="S23" s="1508">
        <f>F23</f>
        <v>100</v>
      </c>
      <c r="T23" s="1507" t="s">
        <v>8</v>
      </c>
      <c r="U23" s="1508">
        <f>H23</f>
        <v>100</v>
      </c>
      <c r="V23" s="1507" t="s">
        <v>8</v>
      </c>
      <c r="W23" s="1508">
        <f>J23</f>
        <v>100</v>
      </c>
      <c r="X23" s="1501"/>
      <c r="Y23" s="3518"/>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18"/>
      <c r="Q24" s="1506"/>
      <c r="R24" s="1507"/>
      <c r="S24" s="1508"/>
      <c r="T24" s="1507"/>
      <c r="U24" s="1508"/>
      <c r="V24" s="1507"/>
      <c r="W24" s="1508"/>
      <c r="X24" s="1501"/>
      <c r="Y24" s="3518"/>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18"/>
      <c r="Q25" s="1506">
        <f>B25</f>
        <v>111</v>
      </c>
      <c r="R25" s="1507" t="s">
        <v>8</v>
      </c>
      <c r="S25" s="1508">
        <f>F25</f>
        <v>100</v>
      </c>
      <c r="T25" s="1507" t="s">
        <v>8</v>
      </c>
      <c r="U25" s="1508">
        <f>H25</f>
        <v>100</v>
      </c>
      <c r="V25" s="1507" t="s">
        <v>8</v>
      </c>
      <c r="W25" s="1508">
        <f>J25</f>
        <v>100</v>
      </c>
      <c r="X25" s="1501"/>
      <c r="Y25" s="3518"/>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18"/>
      <c r="Q26" s="1506">
        <f t="shared" ref="Q26:Q40" si="11">B26</f>
        <v>111</v>
      </c>
      <c r="R26" s="1507" t="s">
        <v>8</v>
      </c>
      <c r="S26" s="1508">
        <f>F26</f>
        <v>100</v>
      </c>
      <c r="T26" s="1507" t="s">
        <v>8</v>
      </c>
      <c r="U26" s="1508">
        <f>H26</f>
        <v>100</v>
      </c>
      <c r="V26" s="1507" t="s">
        <v>8</v>
      </c>
      <c r="W26" s="1508">
        <f>J26</f>
        <v>100</v>
      </c>
      <c r="X26" s="1501"/>
      <c r="Y26" s="3518"/>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18"/>
      <c r="Q27" s="1133">
        <f t="shared" si="11"/>
        <v>111</v>
      </c>
      <c r="R27" s="1502" t="s">
        <v>8</v>
      </c>
      <c r="S27" s="1503">
        <f>F27</f>
        <v>100</v>
      </c>
      <c r="T27" s="1502" t="s">
        <v>8</v>
      </c>
      <c r="U27" s="1503">
        <f>H27</f>
        <v>100</v>
      </c>
      <c r="V27" s="1502" t="s">
        <v>8</v>
      </c>
      <c r="W27" s="1503">
        <f>J27</f>
        <v>100</v>
      </c>
      <c r="X27" s="1504"/>
      <c r="Y27" s="3518"/>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18"/>
      <c r="Q28" s="1506">
        <f t="shared" si="11"/>
        <v>111</v>
      </c>
      <c r="R28" s="1507" t="s">
        <v>8</v>
      </c>
      <c r="S28" s="1508">
        <f t="shared" ref="S28:S40" si="12">F28</f>
        <v>100</v>
      </c>
      <c r="T28" s="1507" t="s">
        <v>8</v>
      </c>
      <c r="U28" s="1508">
        <f t="shared" ref="U28:U40" si="13">H28</f>
        <v>100</v>
      </c>
      <c r="V28" s="1507" t="s">
        <v>8</v>
      </c>
      <c r="W28" s="1508">
        <f t="shared" ref="W28:W40" si="14">J28</f>
        <v>100</v>
      </c>
      <c r="X28" s="1501"/>
      <c r="Y28" s="3518"/>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19" t="s">
        <v>544</v>
      </c>
      <c r="Q29" s="1506" t="str">
        <f t="shared" si="11"/>
        <v>建筑类型</v>
      </c>
      <c r="R29" s="1507" t="s">
        <v>8</v>
      </c>
      <c r="S29" s="1508">
        <f t="shared" si="12"/>
        <v>100</v>
      </c>
      <c r="T29" s="1507" t="s">
        <v>8</v>
      </c>
      <c r="U29" s="1508">
        <f t="shared" si="13"/>
        <v>100</v>
      </c>
      <c r="V29" s="1507" t="s">
        <v>8</v>
      </c>
      <c r="W29" s="1508">
        <f t="shared" si="14"/>
        <v>100</v>
      </c>
      <c r="X29" s="1501"/>
      <c r="Y29" s="3520"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0"/>
      <c r="Q30" s="1535" t="str">
        <f t="shared" si="11"/>
        <v>项目建筑规模</v>
      </c>
      <c r="R30" s="1511" t="s">
        <v>8</v>
      </c>
      <c r="S30" s="1512" t="e">
        <f t="shared" si="12"/>
        <v>#N/A</v>
      </c>
      <c r="T30" s="1511" t="s">
        <v>8</v>
      </c>
      <c r="U30" s="1512" t="e">
        <f t="shared" si="13"/>
        <v>#N/A</v>
      </c>
      <c r="V30" s="1511" t="s">
        <v>8</v>
      </c>
      <c r="W30" s="1512" t="e">
        <f t="shared" si="14"/>
        <v>#N/A</v>
      </c>
      <c r="X30" s="1513"/>
      <c r="Y30" s="3520"/>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0"/>
      <c r="Q31" s="1506" t="str">
        <f t="shared" si="11"/>
        <v>建筑结构</v>
      </c>
      <c r="R31" s="1507" t="s">
        <v>8</v>
      </c>
      <c r="S31" s="1508">
        <f t="shared" si="12"/>
        <v>100</v>
      </c>
      <c r="T31" s="1507" t="s">
        <v>8</v>
      </c>
      <c r="U31" s="1508">
        <f t="shared" si="13"/>
        <v>100</v>
      </c>
      <c r="V31" s="1507" t="s">
        <v>8</v>
      </c>
      <c r="W31" s="1508">
        <f t="shared" si="14"/>
        <v>100</v>
      </c>
      <c r="X31" s="1501"/>
      <c r="Y31" s="3520"/>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0"/>
      <c r="Q32" s="1506" t="str">
        <f t="shared" si="11"/>
        <v>公共部分装修</v>
      </c>
      <c r="R32" s="1507" t="s">
        <v>8</v>
      </c>
      <c r="S32" s="1508">
        <f t="shared" si="12"/>
        <v>100</v>
      </c>
      <c r="T32" s="1507" t="s">
        <v>8</v>
      </c>
      <c r="U32" s="1508">
        <f t="shared" si="13"/>
        <v>100</v>
      </c>
      <c r="V32" s="1507" t="s">
        <v>8</v>
      </c>
      <c r="W32" s="1508">
        <f t="shared" si="14"/>
        <v>100</v>
      </c>
      <c r="X32" s="1501"/>
      <c r="Y32" s="3520"/>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20"/>
      <c r="Q33" s="1506" t="str">
        <f t="shared" si="11"/>
        <v>成新度</v>
      </c>
      <c r="R33" s="1507" t="s">
        <v>8</v>
      </c>
      <c r="S33" s="1508" t="e">
        <f t="shared" si="12"/>
        <v>#N/A</v>
      </c>
      <c r="T33" s="1507" t="s">
        <v>8</v>
      </c>
      <c r="U33" s="1508" t="e">
        <f t="shared" si="13"/>
        <v>#N/A</v>
      </c>
      <c r="V33" s="1507" t="s">
        <v>8</v>
      </c>
      <c r="W33" s="1508" t="e">
        <f t="shared" si="14"/>
        <v>#N/A</v>
      </c>
      <c r="X33" s="1501"/>
      <c r="Y33" s="3520"/>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0"/>
      <c r="Q34" s="1133" t="str">
        <f t="shared" si="11"/>
        <v>物业管理</v>
      </c>
      <c r="R34" s="1502" t="s">
        <v>8</v>
      </c>
      <c r="S34" s="1503">
        <f t="shared" si="12"/>
        <v>100</v>
      </c>
      <c r="T34" s="1502" t="s">
        <v>8</v>
      </c>
      <c r="U34" s="1503">
        <f t="shared" si="13"/>
        <v>100</v>
      </c>
      <c r="V34" s="1502" t="s">
        <v>8</v>
      </c>
      <c r="W34" s="1503">
        <f t="shared" si="14"/>
        <v>100</v>
      </c>
      <c r="X34" s="1504"/>
      <c r="Y34" s="3520"/>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0" t="s">
        <v>544</v>
      </c>
      <c r="Q35" s="1506" t="str">
        <f t="shared" si="11"/>
        <v>市政基础设施</v>
      </c>
      <c r="R35" s="1507" t="s">
        <v>8</v>
      </c>
      <c r="S35" s="1508">
        <f t="shared" si="12"/>
        <v>100</v>
      </c>
      <c r="T35" s="1507" t="s">
        <v>8</v>
      </c>
      <c r="U35" s="1508">
        <f t="shared" si="13"/>
        <v>100</v>
      </c>
      <c r="V35" s="1507" t="s">
        <v>8</v>
      </c>
      <c r="W35" s="1508">
        <f t="shared" si="14"/>
        <v>100</v>
      </c>
      <c r="X35" s="1501"/>
      <c r="Y35" s="3520"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0"/>
      <c r="Q36" s="1506" t="str">
        <f t="shared" si="11"/>
        <v>内部装修</v>
      </c>
      <c r="R36" s="1507" t="s">
        <v>8</v>
      </c>
      <c r="S36" s="1508">
        <f t="shared" si="12"/>
        <v>100</v>
      </c>
      <c r="T36" s="1507" t="s">
        <v>8</v>
      </c>
      <c r="U36" s="1508">
        <f t="shared" si="13"/>
        <v>100</v>
      </c>
      <c r="V36" s="1507" t="s">
        <v>8</v>
      </c>
      <c r="W36" s="1508">
        <f t="shared" si="14"/>
        <v>100</v>
      </c>
      <c r="X36" s="1501"/>
      <c r="Y36" s="3520"/>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0"/>
      <c r="Q37" s="1506" t="str">
        <f t="shared" si="11"/>
        <v>内部装修状况</v>
      </c>
      <c r="R37" s="1507" t="s">
        <v>8</v>
      </c>
      <c r="S37" s="1508">
        <f t="shared" si="12"/>
        <v>100</v>
      </c>
      <c r="T37" s="1507" t="s">
        <v>8</v>
      </c>
      <c r="U37" s="1508">
        <f t="shared" si="13"/>
        <v>100</v>
      </c>
      <c r="V37" s="1507" t="s">
        <v>8</v>
      </c>
      <c r="W37" s="1508">
        <f t="shared" si="14"/>
        <v>100</v>
      </c>
      <c r="X37" s="1501"/>
      <c r="Y37" s="3520"/>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20"/>
      <c r="Q38" s="1535">
        <f t="shared" si="11"/>
        <v>111</v>
      </c>
      <c r="R38" s="1511" t="s">
        <v>8</v>
      </c>
      <c r="S38" s="1512">
        <f t="shared" si="12"/>
        <v>100</v>
      </c>
      <c r="T38" s="1511" t="s">
        <v>8</v>
      </c>
      <c r="U38" s="1512">
        <f t="shared" si="13"/>
        <v>100</v>
      </c>
      <c r="V38" s="1511" t="s">
        <v>8</v>
      </c>
      <c r="W38" s="1512">
        <f t="shared" si="14"/>
        <v>100</v>
      </c>
      <c r="X38" s="1513"/>
      <c r="Y38" s="3520"/>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20"/>
      <c r="Q39" s="1506">
        <f t="shared" si="11"/>
        <v>111</v>
      </c>
      <c r="R39" s="1507" t="s">
        <v>8</v>
      </c>
      <c r="S39" s="1508">
        <f t="shared" si="12"/>
        <v>100</v>
      </c>
      <c r="T39" s="1507" t="s">
        <v>8</v>
      </c>
      <c r="U39" s="1508">
        <f t="shared" si="13"/>
        <v>100</v>
      </c>
      <c r="V39" s="1507" t="s">
        <v>8</v>
      </c>
      <c r="W39" s="1508">
        <f t="shared" si="14"/>
        <v>100</v>
      </c>
      <c r="X39" s="1501"/>
      <c r="Y39" s="3520"/>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19"/>
      <c r="Q40" s="1506">
        <f t="shared" si="11"/>
        <v>111</v>
      </c>
      <c r="R40" s="1507" t="s">
        <v>8</v>
      </c>
      <c r="S40" s="1508">
        <f t="shared" si="12"/>
        <v>100</v>
      </c>
      <c r="T40" s="1507" t="s">
        <v>8</v>
      </c>
      <c r="U40" s="1508">
        <f t="shared" si="13"/>
        <v>100</v>
      </c>
      <c r="V40" s="1507" t="s">
        <v>8</v>
      </c>
      <c r="W40" s="1508">
        <f t="shared" si="14"/>
        <v>100</v>
      </c>
      <c r="X40" s="1501"/>
      <c r="Y40" s="3619"/>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15" t="str">
        <f>A41</f>
        <v>成交单价（元/平方米）</v>
      </c>
      <c r="Q41" s="3515"/>
      <c r="R41" s="3620">
        <f>E41</f>
        <v>0</v>
      </c>
      <c r="S41" s="3620"/>
      <c r="T41" s="3620">
        <f>G41</f>
        <v>0</v>
      </c>
      <c r="U41" s="3620"/>
      <c r="V41" s="3620">
        <f>I41</f>
        <v>0</v>
      </c>
      <c r="W41" s="3620"/>
      <c r="X41" s="1496"/>
      <c r="Y41" s="1515"/>
      <c r="Z41" s="1496"/>
      <c r="AA41" s="1496"/>
      <c r="AB41" s="1496"/>
      <c r="AC41" s="1496"/>
    </row>
    <row r="42" spans="1:29" ht="15.75" thickBot="1">
      <c r="A42" s="609" t="s">
        <v>2740</v>
      </c>
      <c r="B42" s="876"/>
      <c r="C42" s="2476" t="e">
        <f>R43</f>
        <v>#DIV/0!</v>
      </c>
      <c r="D42" s="3012" t="s">
        <v>2967</v>
      </c>
      <c r="E42" s="2477" t="e">
        <f>R42</f>
        <v>#DIV/0!</v>
      </c>
      <c r="F42" s="3013"/>
      <c r="G42" s="2476" t="e">
        <f>T42</f>
        <v>#DIV/0!</v>
      </c>
      <c r="H42" s="3013"/>
      <c r="I42" s="2477" t="e">
        <f>V42</f>
        <v>#DIV/0!</v>
      </c>
      <c r="J42" s="3013"/>
      <c r="K42" s="3021">
        <f>F42+H42+J42</f>
        <v>0</v>
      </c>
      <c r="L42" s="2026"/>
      <c r="M42" s="2027"/>
      <c r="N42" s="2016"/>
      <c r="O42" s="2027"/>
      <c r="P42" s="3515" t="str">
        <f>A42</f>
        <v>比较价格（元/平方米）</v>
      </c>
      <c r="Q42" s="3515"/>
      <c r="R42" s="3620" t="e">
        <f>IF(F1="售价",ROUND(PRODUCT(R41,AA7:AA40),0),ROUND(PRODUCT(R41,AA7:AA40),1))</f>
        <v>#DIV/0!</v>
      </c>
      <c r="S42" s="3620"/>
      <c r="T42" s="3620" t="e">
        <f>IF(F1="售价",ROUND(PRODUCT(T41,AB7:AB40),0),ROUND(PRODUCT(T41,AB7:AB40),1))</f>
        <v>#DIV/0!</v>
      </c>
      <c r="U42" s="3620"/>
      <c r="V42" s="3620" t="e">
        <f>IF(F1="售价",ROUND(PRODUCT(V41,AC7:AC40),0),ROUND(PRODUCT(V41,AC7:AC40),1))</f>
        <v>#DIV/0!</v>
      </c>
      <c r="W42" s="3620"/>
      <c r="X42" s="1496"/>
      <c r="Y42" s="1496"/>
      <c r="Z42" s="1496"/>
      <c r="AA42" s="1496"/>
      <c r="AB42" s="1496"/>
      <c r="AC42" s="1496"/>
    </row>
    <row r="43" spans="1:29" ht="15.75" thickBot="1">
      <c r="A43" s="613" t="s">
        <v>2899</v>
      </c>
      <c r="B43" s="614"/>
      <c r="C43" s="2478" t="e">
        <f>R43</f>
        <v>#DIV/0!</v>
      </c>
      <c r="D43" s="2478"/>
      <c r="E43" s="2478"/>
      <c r="F43" s="2478"/>
      <c r="G43" s="2478"/>
      <c r="H43" s="2478"/>
      <c r="I43" s="2478"/>
      <c r="J43" s="2478"/>
      <c r="K43" s="1541"/>
      <c r="L43" s="2026"/>
      <c r="M43" s="2027"/>
      <c r="N43" s="2027"/>
      <c r="O43" s="2027"/>
      <c r="P43" s="3536" t="str">
        <f>A43</f>
        <v>估价对象XX用房的比较价格（楼面单价，元/平方米）</v>
      </c>
      <c r="Q43" s="3537"/>
      <c r="R43" s="3621" t="e">
        <f>IF(F1="售价",ROUND(IF(D42="简单平均",AVERAGE(R42:V42),R42*F42+T42*H42+V42*J42),0),ROUND(IF(D42="简单平均",AVERAGE(R42:V42),R42*F42+T42*H42+V42*J42),1))</f>
        <v>#DIV/0!</v>
      </c>
      <c r="S43" s="3621"/>
      <c r="T43" s="3621"/>
      <c r="U43" s="3621"/>
      <c r="V43" s="3621"/>
      <c r="W43" s="3621"/>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2021-4</v>
      </c>
      <c r="D52" s="2521">
        <f>EDATE(C52,-1)</f>
        <v>44256</v>
      </c>
      <c r="E52" s="2521">
        <f t="shared" ref="E52:O52" si="16">EDATE(D52,-1)</f>
        <v>44228</v>
      </c>
      <c r="F52" s="2521">
        <f t="shared" si="16"/>
        <v>44197</v>
      </c>
      <c r="G52" s="2521">
        <f t="shared" si="16"/>
        <v>44166</v>
      </c>
      <c r="H52" s="2521">
        <f t="shared" si="16"/>
        <v>44136</v>
      </c>
      <c r="I52" s="2521">
        <f t="shared" si="16"/>
        <v>44105</v>
      </c>
      <c r="J52" s="2521">
        <f t="shared" si="16"/>
        <v>44075</v>
      </c>
      <c r="K52" s="2521">
        <f t="shared" si="16"/>
        <v>44044</v>
      </c>
      <c r="L52" s="2521">
        <f t="shared" si="16"/>
        <v>44013</v>
      </c>
      <c r="M52" s="2521">
        <f t="shared" si="16"/>
        <v>43983</v>
      </c>
      <c r="N52" s="2521">
        <f t="shared" si="16"/>
        <v>43952</v>
      </c>
      <c r="O52" s="2521">
        <f t="shared" si="16"/>
        <v>43922</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1" t="s">
        <v>792</v>
      </c>
      <c r="D4" s="3522"/>
      <c r="E4" s="3521" t="s">
        <v>793</v>
      </c>
      <c r="F4" s="3522"/>
      <c r="G4" s="3521" t="s">
        <v>794</v>
      </c>
      <c r="H4" s="3522"/>
      <c r="I4" s="3521" t="s">
        <v>795</v>
      </c>
      <c r="J4" s="3522"/>
      <c r="K4" s="508" t="s">
        <v>796</v>
      </c>
      <c r="L4" s="2015"/>
      <c r="M4" s="2016"/>
      <c r="N4" s="2016"/>
      <c r="O4" s="2016"/>
      <c r="P4" s="3523" t="s">
        <v>797</v>
      </c>
      <c r="Q4" s="3524"/>
      <c r="R4" s="3509" t="s">
        <v>793</v>
      </c>
      <c r="S4" s="3510"/>
      <c r="T4" s="3509" t="s">
        <v>794</v>
      </c>
      <c r="U4" s="3510"/>
      <c r="V4" s="3529" t="s">
        <v>795</v>
      </c>
      <c r="W4" s="3529"/>
      <c r="X4" s="1501"/>
      <c r="Y4" s="3509" t="s">
        <v>797</v>
      </c>
      <c r="Z4" s="3510"/>
      <c r="AA4" s="3504" t="s">
        <v>793</v>
      </c>
      <c r="AB4" s="3505" t="s">
        <v>794</v>
      </c>
      <c r="AC4" s="3504" t="s">
        <v>795</v>
      </c>
    </row>
    <row r="5" spans="1:29" ht="15">
      <c r="A5" s="509"/>
      <c r="B5" s="510"/>
      <c r="C5" s="3532" t="s">
        <v>2893</v>
      </c>
      <c r="D5" s="3533"/>
      <c r="E5" s="3532" t="s">
        <v>2894</v>
      </c>
      <c r="F5" s="3533"/>
      <c r="G5" s="3532" t="s">
        <v>2895</v>
      </c>
      <c r="H5" s="3533"/>
      <c r="I5" s="3532" t="s">
        <v>2896</v>
      </c>
      <c r="J5" s="3533"/>
      <c r="K5" s="508"/>
      <c r="L5" s="2015"/>
      <c r="M5" s="2016"/>
      <c r="N5" s="2016"/>
      <c r="O5" s="2016"/>
      <c r="P5" s="3525"/>
      <c r="Q5" s="3526"/>
      <c r="R5" s="3511"/>
      <c r="S5" s="3512"/>
      <c r="T5" s="3511"/>
      <c r="U5" s="3512"/>
      <c r="V5" s="3529"/>
      <c r="W5" s="3529"/>
      <c r="X5" s="1501"/>
      <c r="Y5" s="3511"/>
      <c r="Z5" s="3512"/>
      <c r="AA5" s="3505"/>
      <c r="AB5" s="3505"/>
      <c r="AC5" s="3505"/>
    </row>
    <row r="6" spans="1:29" ht="15.75" thickBot="1">
      <c r="A6" s="511"/>
      <c r="B6" s="512"/>
      <c r="C6" s="3530" t="s">
        <v>2897</v>
      </c>
      <c r="D6" s="3531"/>
      <c r="E6" s="3534" t="s">
        <v>2897</v>
      </c>
      <c r="F6" s="3535"/>
      <c r="G6" s="3530" t="s">
        <v>2897</v>
      </c>
      <c r="H6" s="3531"/>
      <c r="I6" s="3530" t="s">
        <v>2897</v>
      </c>
      <c r="J6" s="3531"/>
      <c r="K6" s="508" t="s">
        <v>522</v>
      </c>
      <c r="L6" s="2015"/>
      <c r="M6" s="2016"/>
      <c r="N6" s="2016"/>
      <c r="O6" s="2016"/>
      <c r="P6" s="3527"/>
      <c r="Q6" s="3528"/>
      <c r="R6" s="3511"/>
      <c r="S6" s="3512"/>
      <c r="T6" s="3513"/>
      <c r="U6" s="3514"/>
      <c r="V6" s="3529"/>
      <c r="W6" s="3529"/>
      <c r="X6" s="1501"/>
      <c r="Y6" s="3513"/>
      <c r="Z6" s="3514"/>
      <c r="AA6" s="3506"/>
      <c r="AB6" s="3506"/>
      <c r="AC6" s="3506"/>
    </row>
    <row r="7" spans="1:29" s="1202" customFormat="1" ht="15.75" thickBot="1">
      <c r="A7" s="2628"/>
      <c r="B7" s="2635" t="s">
        <v>523</v>
      </c>
      <c r="C7" s="513">
        <f>'数据-取费表'!B2</f>
        <v>44315</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7" t="s">
        <v>524</v>
      </c>
      <c r="Q7" s="3516"/>
      <c r="R7" s="1502" t="s">
        <v>8</v>
      </c>
      <c r="S7" s="1503">
        <f t="shared" ref="S7:S14" si="0">F7</f>
        <v>0</v>
      </c>
      <c r="T7" s="1502" t="s">
        <v>8</v>
      </c>
      <c r="U7" s="1503">
        <f t="shared" ref="U7:U14" si="1">H7</f>
        <v>0</v>
      </c>
      <c r="V7" s="1502" t="s">
        <v>8</v>
      </c>
      <c r="W7" s="1503">
        <f t="shared" ref="W7:W14" si="2">J7</f>
        <v>0</v>
      </c>
      <c r="X7" s="1504"/>
      <c r="Y7" s="3507" t="s">
        <v>524</v>
      </c>
      <c r="Z7" s="3508"/>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7" t="s">
        <v>527</v>
      </c>
      <c r="Q8" s="3508"/>
      <c r="R8" s="1502" t="s">
        <v>8</v>
      </c>
      <c r="S8" s="1503">
        <f t="shared" si="0"/>
        <v>0</v>
      </c>
      <c r="T8" s="1502" t="s">
        <v>8</v>
      </c>
      <c r="U8" s="1503">
        <f t="shared" si="1"/>
        <v>0</v>
      </c>
      <c r="V8" s="1502" t="s">
        <v>8</v>
      </c>
      <c r="W8" s="1503">
        <f t="shared" si="2"/>
        <v>0</v>
      </c>
      <c r="X8" s="1504"/>
      <c r="Y8" s="3507" t="s">
        <v>527</v>
      </c>
      <c r="Z8" s="3508"/>
      <c r="AA8" s="1505" t="e">
        <f t="shared" ref="AA8:AA36" si="3">D8/F8</f>
        <v>#DIV/0!</v>
      </c>
      <c r="AB8" s="1505" t="e">
        <f t="shared" ref="AB8:AB36" si="4">D8/H8</f>
        <v>#DIV/0!</v>
      </c>
      <c r="AC8" s="1505"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15" t="s">
        <v>529</v>
      </c>
      <c r="Q9" s="1133" t="str">
        <f t="shared" ref="Q9:Q14" si="6">B9</f>
        <v>用途</v>
      </c>
      <c r="R9" s="1502" t="s">
        <v>8</v>
      </c>
      <c r="S9" s="1503">
        <f t="shared" si="0"/>
        <v>100</v>
      </c>
      <c r="T9" s="1502" t="s">
        <v>8</v>
      </c>
      <c r="U9" s="1503">
        <f t="shared" si="1"/>
        <v>100</v>
      </c>
      <c r="V9" s="1502" t="s">
        <v>8</v>
      </c>
      <c r="W9" s="1503">
        <f t="shared" si="2"/>
        <v>100</v>
      </c>
      <c r="X9" s="1504"/>
      <c r="Y9" s="3466"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15"/>
      <c r="Q10" s="1133" t="str">
        <f t="shared" si="6"/>
        <v>土地使用年限（年）</v>
      </c>
      <c r="R10" s="1502" t="s">
        <v>8</v>
      </c>
      <c r="S10" s="1503">
        <f t="shared" si="0"/>
        <v>100</v>
      </c>
      <c r="T10" s="1502" t="s">
        <v>8</v>
      </c>
      <c r="U10" s="1503">
        <f t="shared" si="1"/>
        <v>100</v>
      </c>
      <c r="V10" s="1502" t="s">
        <v>8</v>
      </c>
      <c r="W10" s="1503">
        <f t="shared" si="2"/>
        <v>100</v>
      </c>
      <c r="X10" s="1504"/>
      <c r="Y10" s="3466"/>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15"/>
      <c r="Q11" s="1133">
        <f t="shared" si="6"/>
        <v>111</v>
      </c>
      <c r="R11" s="1502" t="s">
        <v>8</v>
      </c>
      <c r="S11" s="1503">
        <f t="shared" si="0"/>
        <v>100</v>
      </c>
      <c r="T11" s="1502" t="s">
        <v>8</v>
      </c>
      <c r="U11" s="1503">
        <f t="shared" si="1"/>
        <v>100</v>
      </c>
      <c r="V11" s="1502" t="s">
        <v>8</v>
      </c>
      <c r="W11" s="1503">
        <f t="shared" si="2"/>
        <v>100</v>
      </c>
      <c r="X11" s="1504"/>
      <c r="Y11" s="3466"/>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15"/>
      <c r="Q12" s="1133">
        <f t="shared" si="6"/>
        <v>111</v>
      </c>
      <c r="R12" s="1502" t="s">
        <v>8</v>
      </c>
      <c r="S12" s="1503">
        <f t="shared" si="0"/>
        <v>100</v>
      </c>
      <c r="T12" s="1502" t="s">
        <v>8</v>
      </c>
      <c r="U12" s="1503">
        <f t="shared" si="1"/>
        <v>100</v>
      </c>
      <c r="V12" s="1502" t="s">
        <v>8</v>
      </c>
      <c r="W12" s="1503">
        <f t="shared" si="2"/>
        <v>100</v>
      </c>
      <c r="X12" s="1504"/>
      <c r="Y12" s="3466"/>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15"/>
      <c r="Q13" s="1133">
        <f t="shared" si="6"/>
        <v>111</v>
      </c>
      <c r="R13" s="1502" t="s">
        <v>8</v>
      </c>
      <c r="S13" s="1503">
        <f t="shared" si="0"/>
        <v>100</v>
      </c>
      <c r="T13" s="1502" t="s">
        <v>8</v>
      </c>
      <c r="U13" s="1503">
        <f t="shared" si="1"/>
        <v>100</v>
      </c>
      <c r="V13" s="1502" t="s">
        <v>8</v>
      </c>
      <c r="W13" s="1503">
        <f t="shared" si="2"/>
        <v>100</v>
      </c>
      <c r="X13" s="1504"/>
      <c r="Y13" s="3466"/>
      <c r="Z13" s="1132">
        <f t="shared" si="7"/>
        <v>111</v>
      </c>
      <c r="AA13" s="1505">
        <f t="shared" si="3"/>
        <v>1</v>
      </c>
      <c r="AB13" s="1505">
        <f t="shared" si="4"/>
        <v>1</v>
      </c>
      <c r="AC13" s="1505">
        <f t="shared" si="5"/>
        <v>1</v>
      </c>
    </row>
    <row r="14" spans="1:29" ht="15">
      <c r="A14" s="2626" t="s">
        <v>2734</v>
      </c>
      <c r="B14" s="541" t="s">
        <v>537</v>
      </c>
      <c r="C14" s="909" t="str">
        <f>IF(B1="工业",估价对象房地状况!G4,估价对象房地状况!C6)</f>
        <v>较差</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17" t="s">
        <v>534</v>
      </c>
      <c r="Q14" s="1506" t="str">
        <f t="shared" si="6"/>
        <v>交通便捷度</v>
      </c>
      <c r="R14" s="1507" t="s">
        <v>8</v>
      </c>
      <c r="S14" s="1508">
        <f t="shared" si="0"/>
        <v>100</v>
      </c>
      <c r="T14" s="1507" t="s">
        <v>8</v>
      </c>
      <c r="U14" s="1508">
        <f t="shared" si="1"/>
        <v>100</v>
      </c>
      <c r="V14" s="1507" t="s">
        <v>8</v>
      </c>
      <c r="W14" s="1508">
        <f t="shared" si="2"/>
        <v>100</v>
      </c>
      <c r="X14" s="1501"/>
      <c r="Y14" s="3517"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18"/>
      <c r="Q15" s="1506"/>
      <c r="R15" s="1507"/>
      <c r="S15" s="1508"/>
      <c r="T15" s="1507"/>
      <c r="U15" s="1508"/>
      <c r="V15" s="1507"/>
      <c r="W15" s="1508"/>
      <c r="X15" s="1501"/>
      <c r="Y15" s="3518"/>
      <c r="Z15" s="1509"/>
      <c r="AA15" s="1510">
        <v>1</v>
      </c>
      <c r="AB15" s="1510">
        <v>1</v>
      </c>
      <c r="AC15" s="1510">
        <v>1</v>
      </c>
    </row>
    <row r="16" spans="1:29" ht="15">
      <c r="A16" s="509"/>
      <c r="B16" s="2447" t="s">
        <v>2527</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18"/>
      <c r="Q16" s="1506" t="str">
        <f>B16</f>
        <v>公共配套设施</v>
      </c>
      <c r="R16" s="1507" t="s">
        <v>8</v>
      </c>
      <c r="S16" s="1508">
        <f>F16</f>
        <v>100</v>
      </c>
      <c r="T16" s="1507" t="s">
        <v>8</v>
      </c>
      <c r="U16" s="1508">
        <f>H16</f>
        <v>100</v>
      </c>
      <c r="V16" s="1507" t="s">
        <v>8</v>
      </c>
      <c r="W16" s="1508">
        <f>J16</f>
        <v>100</v>
      </c>
      <c r="X16" s="1501"/>
      <c r="Y16" s="3518"/>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18"/>
      <c r="Q17" s="1506"/>
      <c r="R17" s="1507"/>
      <c r="S17" s="1508"/>
      <c r="T17" s="1507"/>
      <c r="U17" s="1508"/>
      <c r="V17" s="1507"/>
      <c r="W17" s="1508"/>
      <c r="X17" s="1501"/>
      <c r="Y17" s="3518"/>
      <c r="Z17" s="1509"/>
      <c r="AA17" s="1510">
        <v>1</v>
      </c>
      <c r="AB17" s="1510">
        <v>1</v>
      </c>
      <c r="AC17" s="1510">
        <v>1</v>
      </c>
    </row>
    <row r="18" spans="1:29" ht="15">
      <c r="A18" s="509"/>
      <c r="B18" s="2435" t="s">
        <v>2539</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18"/>
      <c r="Q18" s="2429" t="str">
        <f>B18</f>
        <v>基础设施水平</v>
      </c>
      <c r="R18" s="1507" t="s">
        <v>8</v>
      </c>
      <c r="S18" s="1508">
        <f>F18</f>
        <v>100</v>
      </c>
      <c r="T18" s="1507" t="s">
        <v>8</v>
      </c>
      <c r="U18" s="1508">
        <f>H18</f>
        <v>100</v>
      </c>
      <c r="V18" s="1507" t="s">
        <v>8</v>
      </c>
      <c r="W18" s="1508">
        <f>J18</f>
        <v>100</v>
      </c>
      <c r="X18" s="2431"/>
      <c r="Y18" s="3518"/>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18"/>
      <c r="Q19" s="2429"/>
      <c r="R19" s="1507"/>
      <c r="S19" s="1508"/>
      <c r="T19" s="1507"/>
      <c r="U19" s="1508"/>
      <c r="V19" s="1507"/>
      <c r="W19" s="1508"/>
      <c r="X19" s="2431"/>
      <c r="Y19" s="3518"/>
      <c r="Z19" s="2430"/>
      <c r="AA19" s="1510">
        <v>1</v>
      </c>
      <c r="AB19" s="1510">
        <v>1</v>
      </c>
      <c r="AC19" s="1510">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18"/>
      <c r="Q20" s="1506" t="str">
        <f>B20</f>
        <v>自然及人文环境</v>
      </c>
      <c r="R20" s="1507" t="s">
        <v>8</v>
      </c>
      <c r="S20" s="1508">
        <f>F20</f>
        <v>100</v>
      </c>
      <c r="T20" s="1507" t="s">
        <v>8</v>
      </c>
      <c r="U20" s="1508">
        <f>H20</f>
        <v>100</v>
      </c>
      <c r="V20" s="1507" t="s">
        <v>8</v>
      </c>
      <c r="W20" s="1508">
        <f>J20</f>
        <v>100</v>
      </c>
      <c r="X20" s="1501"/>
      <c r="Y20" s="3518"/>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18"/>
      <c r="Q21" s="1506"/>
      <c r="R21" s="1507"/>
      <c r="S21" s="1508"/>
      <c r="T21" s="1507"/>
      <c r="U21" s="1508"/>
      <c r="V21" s="1507"/>
      <c r="W21" s="1508"/>
      <c r="X21" s="1501"/>
      <c r="Y21" s="3518"/>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18"/>
      <c r="Q22" s="1506" t="str">
        <f>B22</f>
        <v>楼层</v>
      </c>
      <c r="R22" s="1507" t="s">
        <v>8</v>
      </c>
      <c r="S22" s="1508">
        <f>F22</f>
        <v>100</v>
      </c>
      <c r="T22" s="1507" t="s">
        <v>8</v>
      </c>
      <c r="U22" s="1508">
        <f>H22</f>
        <v>100</v>
      </c>
      <c r="V22" s="1507" t="s">
        <v>8</v>
      </c>
      <c r="W22" s="1508">
        <f>J22</f>
        <v>100</v>
      </c>
      <c r="X22" s="1501"/>
      <c r="Y22" s="3518"/>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18"/>
      <c r="Q23" s="1506">
        <f>B23</f>
        <v>111</v>
      </c>
      <c r="R23" s="1507" t="s">
        <v>8</v>
      </c>
      <c r="S23" s="1508">
        <f>F23</f>
        <v>100</v>
      </c>
      <c r="T23" s="1507" t="s">
        <v>8</v>
      </c>
      <c r="U23" s="1508">
        <f>H23</f>
        <v>100</v>
      </c>
      <c r="V23" s="1507" t="s">
        <v>8</v>
      </c>
      <c r="W23" s="1508">
        <f>J23</f>
        <v>100</v>
      </c>
      <c r="X23" s="1501"/>
      <c r="Y23" s="3518"/>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18"/>
      <c r="Q24" s="1506">
        <f t="shared" ref="Q24:Q36" si="11">B24</f>
        <v>111</v>
      </c>
      <c r="R24" s="1507" t="s">
        <v>8</v>
      </c>
      <c r="S24" s="1508">
        <f>F24</f>
        <v>100</v>
      </c>
      <c r="T24" s="1507" t="s">
        <v>8</v>
      </c>
      <c r="U24" s="1508">
        <f>H24</f>
        <v>100</v>
      </c>
      <c r="V24" s="1507" t="s">
        <v>8</v>
      </c>
      <c r="W24" s="1508">
        <f>J24</f>
        <v>100</v>
      </c>
      <c r="X24" s="1501"/>
      <c r="Y24" s="3518"/>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18"/>
      <c r="Q25" s="1133">
        <f t="shared" si="11"/>
        <v>111</v>
      </c>
      <c r="R25" s="1502" t="s">
        <v>8</v>
      </c>
      <c r="S25" s="1503">
        <f>F25</f>
        <v>100</v>
      </c>
      <c r="T25" s="1502" t="s">
        <v>8</v>
      </c>
      <c r="U25" s="1503">
        <f>H25</f>
        <v>100</v>
      </c>
      <c r="V25" s="1502" t="s">
        <v>8</v>
      </c>
      <c r="W25" s="1503">
        <f>J25</f>
        <v>100</v>
      </c>
      <c r="X25" s="1504"/>
      <c r="Y25" s="3518"/>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9"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0"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20"/>
      <c r="Q27" s="1535" t="str">
        <f t="shared" si="11"/>
        <v>项目停车位配比</v>
      </c>
      <c r="R27" s="1511" t="s">
        <v>8</v>
      </c>
      <c r="S27" s="1512">
        <f t="shared" si="12"/>
        <v>100</v>
      </c>
      <c r="T27" s="1511" t="s">
        <v>8</v>
      </c>
      <c r="U27" s="1512">
        <f t="shared" si="13"/>
        <v>100</v>
      </c>
      <c r="V27" s="1511" t="s">
        <v>8</v>
      </c>
      <c r="W27" s="1512">
        <f t="shared" si="14"/>
        <v>100</v>
      </c>
      <c r="X27" s="1513"/>
      <c r="Y27" s="3520"/>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0"/>
      <c r="Q28" s="1506" t="str">
        <f t="shared" si="11"/>
        <v>公共部分装修</v>
      </c>
      <c r="R28" s="1507" t="s">
        <v>8</v>
      </c>
      <c r="S28" s="1508">
        <f t="shared" si="12"/>
        <v>100</v>
      </c>
      <c r="T28" s="1507" t="s">
        <v>8</v>
      </c>
      <c r="U28" s="1508">
        <f t="shared" si="13"/>
        <v>100</v>
      </c>
      <c r="V28" s="1507" t="s">
        <v>8</v>
      </c>
      <c r="W28" s="1508">
        <f t="shared" si="14"/>
        <v>100</v>
      </c>
      <c r="X28" s="1501"/>
      <c r="Y28" s="3520"/>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20"/>
      <c r="Q29" s="1506" t="str">
        <f t="shared" si="11"/>
        <v>成新率</v>
      </c>
      <c r="R29" s="1507" t="s">
        <v>8</v>
      </c>
      <c r="S29" s="1508" t="e">
        <f t="shared" si="12"/>
        <v>#N/A</v>
      </c>
      <c r="T29" s="1507" t="s">
        <v>8</v>
      </c>
      <c r="U29" s="1508" t="e">
        <f t="shared" si="13"/>
        <v>#N/A</v>
      </c>
      <c r="V29" s="1507" t="s">
        <v>8</v>
      </c>
      <c r="W29" s="1508" t="e">
        <f t="shared" si="14"/>
        <v>#N/A</v>
      </c>
      <c r="X29" s="1501"/>
      <c r="Y29" s="3520"/>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20"/>
      <c r="Q30" s="1506" t="str">
        <f t="shared" si="11"/>
        <v>物业等级</v>
      </c>
      <c r="R30" s="1507" t="s">
        <v>8</v>
      </c>
      <c r="S30" s="1508">
        <f t="shared" si="12"/>
        <v>100</v>
      </c>
      <c r="T30" s="1507" t="s">
        <v>8</v>
      </c>
      <c r="U30" s="1508">
        <f t="shared" si="13"/>
        <v>100</v>
      </c>
      <c r="V30" s="1507" t="s">
        <v>8</v>
      </c>
      <c r="W30" s="1508">
        <f t="shared" si="14"/>
        <v>100</v>
      </c>
      <c r="X30" s="1501"/>
      <c r="Y30" s="3520"/>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20"/>
      <c r="Q31" s="1133" t="str">
        <f t="shared" si="11"/>
        <v>停车位面积</v>
      </c>
      <c r="R31" s="1502" t="s">
        <v>8</v>
      </c>
      <c r="S31" s="1503" t="e">
        <f t="shared" si="12"/>
        <v>#N/A</v>
      </c>
      <c r="T31" s="1502" t="s">
        <v>8</v>
      </c>
      <c r="U31" s="1503" t="e">
        <f t="shared" si="13"/>
        <v>#N/A</v>
      </c>
      <c r="V31" s="1502" t="s">
        <v>8</v>
      </c>
      <c r="W31" s="1503" t="e">
        <f t="shared" si="14"/>
        <v>#N/A</v>
      </c>
      <c r="X31" s="1504"/>
      <c r="Y31" s="3520"/>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0" t="s">
        <v>544</v>
      </c>
      <c r="Q32" s="1506" t="str">
        <f t="shared" si="11"/>
        <v>车位类型</v>
      </c>
      <c r="R32" s="1507" t="s">
        <v>8</v>
      </c>
      <c r="S32" s="1508">
        <f t="shared" si="12"/>
        <v>100</v>
      </c>
      <c r="T32" s="1507" t="s">
        <v>8</v>
      </c>
      <c r="U32" s="1508">
        <f t="shared" si="13"/>
        <v>100</v>
      </c>
      <c r="V32" s="1507" t="s">
        <v>8</v>
      </c>
      <c r="W32" s="1508">
        <f t="shared" si="14"/>
        <v>100</v>
      </c>
      <c r="X32" s="1501"/>
      <c r="Y32" s="3520"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0"/>
      <c r="Q33" s="1506" t="str">
        <f t="shared" si="11"/>
        <v>是否直接入户</v>
      </c>
      <c r="R33" s="1507" t="s">
        <v>8</v>
      </c>
      <c r="S33" s="1508">
        <f t="shared" si="12"/>
        <v>100</v>
      </c>
      <c r="T33" s="1507" t="s">
        <v>8</v>
      </c>
      <c r="U33" s="1508">
        <f t="shared" si="13"/>
        <v>100</v>
      </c>
      <c r="V33" s="1507" t="s">
        <v>8</v>
      </c>
      <c r="W33" s="1508">
        <f t="shared" si="14"/>
        <v>100</v>
      </c>
      <c r="X33" s="1501"/>
      <c r="Y33" s="3520"/>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0"/>
      <c r="Q34" s="1506">
        <f t="shared" si="11"/>
        <v>111</v>
      </c>
      <c r="R34" s="1507" t="s">
        <v>8</v>
      </c>
      <c r="S34" s="1508">
        <f t="shared" si="12"/>
        <v>100</v>
      </c>
      <c r="T34" s="1507" t="s">
        <v>8</v>
      </c>
      <c r="U34" s="1508">
        <f t="shared" si="13"/>
        <v>100</v>
      </c>
      <c r="V34" s="1507" t="s">
        <v>8</v>
      </c>
      <c r="W34" s="1508">
        <f t="shared" si="14"/>
        <v>100</v>
      </c>
      <c r="X34" s="1501"/>
      <c r="Y34" s="3520"/>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0"/>
      <c r="Q35" s="1535">
        <f t="shared" si="11"/>
        <v>111</v>
      </c>
      <c r="R35" s="1511" t="s">
        <v>8</v>
      </c>
      <c r="S35" s="1512">
        <f t="shared" si="12"/>
        <v>100</v>
      </c>
      <c r="T35" s="1511" t="s">
        <v>8</v>
      </c>
      <c r="U35" s="1512">
        <f t="shared" si="13"/>
        <v>100</v>
      </c>
      <c r="V35" s="1511" t="s">
        <v>8</v>
      </c>
      <c r="W35" s="1512">
        <f t="shared" si="14"/>
        <v>100</v>
      </c>
      <c r="X35" s="1513"/>
      <c r="Y35" s="3520"/>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0"/>
      <c r="Q36" s="1506">
        <f t="shared" si="11"/>
        <v>111</v>
      </c>
      <c r="R36" s="1507" t="s">
        <v>8</v>
      </c>
      <c r="S36" s="1508">
        <f t="shared" si="12"/>
        <v>100</v>
      </c>
      <c r="T36" s="1507" t="s">
        <v>8</v>
      </c>
      <c r="U36" s="1508">
        <f t="shared" si="13"/>
        <v>100</v>
      </c>
      <c r="V36" s="1507" t="s">
        <v>8</v>
      </c>
      <c r="W36" s="1508">
        <f t="shared" si="14"/>
        <v>100</v>
      </c>
      <c r="X36" s="1501"/>
      <c r="Y36" s="3520"/>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515" t="str">
        <f>A37</f>
        <v>成交单价</v>
      </c>
      <c r="Q37" s="3515"/>
      <c r="R37" s="3620">
        <f>E37</f>
        <v>0</v>
      </c>
      <c r="S37" s="3620"/>
      <c r="T37" s="3620">
        <f>G37</f>
        <v>0</v>
      </c>
      <c r="U37" s="3620"/>
      <c r="V37" s="3620">
        <f>I37</f>
        <v>0</v>
      </c>
      <c r="W37" s="3620"/>
      <c r="X37" s="1496"/>
      <c r="Y37" s="1515"/>
      <c r="Z37" s="1496"/>
      <c r="AA37" s="1496"/>
      <c r="AB37" s="1496"/>
      <c r="AC37" s="1496"/>
    </row>
    <row r="38" spans="1:29" ht="15.75" thickBot="1">
      <c r="A38" s="609" t="s">
        <v>2740</v>
      </c>
      <c r="B38" s="876"/>
      <c r="C38" s="2476" t="e">
        <f>R39</f>
        <v>#DIV/0!</v>
      </c>
      <c r="D38" s="3012" t="s">
        <v>2967</v>
      </c>
      <c r="E38" s="2477" t="e">
        <f>R38</f>
        <v>#DIV/0!</v>
      </c>
      <c r="F38" s="3013"/>
      <c r="G38" s="2476" t="e">
        <f>T38</f>
        <v>#DIV/0!</v>
      </c>
      <c r="H38" s="3013"/>
      <c r="I38" s="2477" t="e">
        <f>V38</f>
        <v>#DIV/0!</v>
      </c>
      <c r="J38" s="3013"/>
      <c r="K38" s="3021">
        <f>F38+H38+J38</f>
        <v>0</v>
      </c>
      <c r="L38" s="2026"/>
      <c r="M38" s="2027"/>
      <c r="N38" s="2027"/>
      <c r="O38" s="2027"/>
      <c r="P38" s="3515" t="str">
        <f>A38</f>
        <v>比较价格（元/平方米）</v>
      </c>
      <c r="Q38" s="3515"/>
      <c r="R38" s="3620" t="e">
        <f>IF(F1="售价",ROUND(PRODUCT(R37,AA7:AA36),0),ROUND(PRODUCT(R37,AA7:AA36),1))</f>
        <v>#DIV/0!</v>
      </c>
      <c r="S38" s="3620"/>
      <c r="T38" s="3620" t="e">
        <f>IF(F1="售价",ROUND(PRODUCT(T37,AB7:AB36),0),ROUND(PRODUCT(T37,AB7:AB36),1))</f>
        <v>#DIV/0!</v>
      </c>
      <c r="U38" s="3620"/>
      <c r="V38" s="3620" t="e">
        <f>IF(F1="售价",ROUND(PRODUCT(V37,AC7:AC36),0),ROUND(PRODUCT(V37,AC7:AC36),1))</f>
        <v>#DIV/0!</v>
      </c>
      <c r="W38" s="3620"/>
      <c r="X38" s="1496"/>
      <c r="Y38" s="1496"/>
      <c r="Z38" s="1496"/>
      <c r="AA38" s="1496"/>
      <c r="AB38" s="1496"/>
      <c r="AC38" s="1496"/>
    </row>
    <row r="39" spans="1:29" ht="15.75" thickBot="1">
      <c r="A39" s="613" t="s">
        <v>2899</v>
      </c>
      <c r="B39" s="614"/>
      <c r="C39" s="2478" t="e">
        <f>R39</f>
        <v>#DIV/0!</v>
      </c>
      <c r="D39" s="2478"/>
      <c r="E39" s="2478"/>
      <c r="F39" s="2478"/>
      <c r="G39" s="2478"/>
      <c r="H39" s="2478"/>
      <c r="I39" s="2478"/>
      <c r="J39" s="2478"/>
      <c r="K39" s="1541"/>
      <c r="L39" s="2026"/>
      <c r="M39" s="2027"/>
      <c r="N39" s="2027"/>
      <c r="O39" s="2027"/>
      <c r="P39" s="3536" t="str">
        <f>A39</f>
        <v>估价对象XX用房的比较价格（楼面单价，元/平方米）</v>
      </c>
      <c r="Q39" s="3537"/>
      <c r="R39" s="3621" t="e">
        <f>IF(F1="售价",ROUND(IF(D38="简单平均",AVERAGE(R38:W38),R38*F38+T38*H38+V38*J38),0),ROUND(IF(D38="简单平均",AVERAGE(R38:V38),R38*F38+T38*H38+V38*J38),1))</f>
        <v>#DIV/0!</v>
      </c>
      <c r="S39" s="3621"/>
      <c r="T39" s="3621"/>
      <c r="U39" s="3621"/>
      <c r="V39" s="3621"/>
      <c r="W39" s="3621"/>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2021-4</v>
      </c>
      <c r="D48" s="2521">
        <f>EDATE(C48,-1)</f>
        <v>44256</v>
      </c>
      <c r="E48" s="2521">
        <f t="shared" ref="E48:O48" si="16">EDATE(D48,-1)</f>
        <v>44228</v>
      </c>
      <c r="F48" s="2521">
        <f t="shared" si="16"/>
        <v>44197</v>
      </c>
      <c r="G48" s="2521">
        <f t="shared" si="16"/>
        <v>44166</v>
      </c>
      <c r="H48" s="2521">
        <f t="shared" si="16"/>
        <v>44136</v>
      </c>
      <c r="I48" s="2521">
        <f t="shared" si="16"/>
        <v>44105</v>
      </c>
      <c r="J48" s="2521">
        <f t="shared" si="16"/>
        <v>44075</v>
      </c>
      <c r="K48" s="2521">
        <f t="shared" si="16"/>
        <v>44044</v>
      </c>
      <c r="L48" s="2521">
        <f t="shared" si="16"/>
        <v>44013</v>
      </c>
      <c r="M48" s="2521">
        <f t="shared" si="16"/>
        <v>43983</v>
      </c>
      <c r="N48" s="2521">
        <f t="shared" si="16"/>
        <v>43952</v>
      </c>
      <c r="O48" s="2521">
        <f t="shared" si="16"/>
        <v>43922</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21" t="s">
        <v>792</v>
      </c>
      <c r="D4" s="3522"/>
      <c r="E4" s="3546" t="s">
        <v>793</v>
      </c>
      <c r="F4" s="3547"/>
      <c r="G4" s="3521" t="s">
        <v>794</v>
      </c>
      <c r="H4" s="3522"/>
      <c r="I4" s="3521" t="s">
        <v>795</v>
      </c>
      <c r="J4" s="3522"/>
      <c r="K4" s="508" t="s">
        <v>796</v>
      </c>
      <c r="L4" s="2015"/>
      <c r="M4" s="2016"/>
      <c r="N4" s="2016"/>
      <c r="O4" s="2016"/>
      <c r="P4" s="3523" t="s">
        <v>797</v>
      </c>
      <c r="Q4" s="3524"/>
      <c r="R4" s="3509" t="s">
        <v>793</v>
      </c>
      <c r="S4" s="3510"/>
      <c r="T4" s="3509" t="s">
        <v>794</v>
      </c>
      <c r="U4" s="3510"/>
      <c r="V4" s="3529" t="s">
        <v>795</v>
      </c>
      <c r="W4" s="3529"/>
      <c r="X4" s="1501"/>
      <c r="Y4" s="3509" t="s">
        <v>797</v>
      </c>
      <c r="Z4" s="3510"/>
      <c r="AA4" s="3504" t="s">
        <v>793</v>
      </c>
      <c r="AB4" s="3505" t="s">
        <v>794</v>
      </c>
      <c r="AC4" s="3504" t="s">
        <v>795</v>
      </c>
    </row>
    <row r="5" spans="1:29" ht="15">
      <c r="A5" s="509"/>
      <c r="B5" s="510"/>
      <c r="C5" s="3532" t="s">
        <v>2893</v>
      </c>
      <c r="D5" s="3533"/>
      <c r="E5" s="3548" t="s">
        <v>2894</v>
      </c>
      <c r="F5" s="3549"/>
      <c r="G5" s="3532" t="s">
        <v>2895</v>
      </c>
      <c r="H5" s="3533"/>
      <c r="I5" s="3532" t="s">
        <v>2896</v>
      </c>
      <c r="J5" s="3533"/>
      <c r="K5" s="508"/>
      <c r="L5" s="2015"/>
      <c r="M5" s="2016"/>
      <c r="N5" s="2016"/>
      <c r="O5" s="2016"/>
      <c r="P5" s="3525"/>
      <c r="Q5" s="3526"/>
      <c r="R5" s="3511"/>
      <c r="S5" s="3512"/>
      <c r="T5" s="3511"/>
      <c r="U5" s="3512"/>
      <c r="V5" s="3529"/>
      <c r="W5" s="3529"/>
      <c r="X5" s="1501"/>
      <c r="Y5" s="3511"/>
      <c r="Z5" s="3512"/>
      <c r="AA5" s="3505"/>
      <c r="AB5" s="3505"/>
      <c r="AC5" s="3505"/>
    </row>
    <row r="6" spans="1:29" ht="15.75" thickBot="1">
      <c r="A6" s="511"/>
      <c r="B6" s="512"/>
      <c r="C6" s="3530" t="s">
        <v>2897</v>
      </c>
      <c r="D6" s="3531"/>
      <c r="E6" s="3550" t="s">
        <v>2897</v>
      </c>
      <c r="F6" s="3551"/>
      <c r="G6" s="3530" t="s">
        <v>2897</v>
      </c>
      <c r="H6" s="3531"/>
      <c r="I6" s="3530" t="s">
        <v>2897</v>
      </c>
      <c r="J6" s="3531"/>
      <c r="K6" s="508" t="s">
        <v>522</v>
      </c>
      <c r="L6" s="2015"/>
      <c r="M6" s="2016"/>
      <c r="N6" s="2016"/>
      <c r="O6" s="2016"/>
      <c r="P6" s="3527"/>
      <c r="Q6" s="3528"/>
      <c r="R6" s="3511"/>
      <c r="S6" s="3512"/>
      <c r="T6" s="3513"/>
      <c r="U6" s="3514"/>
      <c r="V6" s="3529"/>
      <c r="W6" s="3529"/>
      <c r="X6" s="1501"/>
      <c r="Y6" s="3513"/>
      <c r="Z6" s="3514"/>
      <c r="AA6" s="3506"/>
      <c r="AB6" s="3506"/>
      <c r="AC6" s="3506"/>
    </row>
    <row r="7" spans="1:29" s="1202" customFormat="1" ht="15.75" thickBot="1">
      <c r="A7" s="2628"/>
      <c r="B7" s="2635" t="s">
        <v>523</v>
      </c>
      <c r="C7" s="513">
        <f>'数据-取费表'!B2</f>
        <v>44315</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7" t="s">
        <v>524</v>
      </c>
      <c r="Q7" s="3516"/>
      <c r="R7" s="1502" t="s">
        <v>8</v>
      </c>
      <c r="S7" s="1503">
        <f t="shared" ref="S7:S14" si="0">F7</f>
        <v>0</v>
      </c>
      <c r="T7" s="1502" t="s">
        <v>8</v>
      </c>
      <c r="U7" s="1503">
        <f t="shared" ref="U7:U14" si="1">H7</f>
        <v>0</v>
      </c>
      <c r="V7" s="1502" t="s">
        <v>8</v>
      </c>
      <c r="W7" s="1503">
        <f t="shared" ref="W7:W14" si="2">J7</f>
        <v>0</v>
      </c>
      <c r="X7" s="1504"/>
      <c r="Y7" s="3507" t="s">
        <v>524</v>
      </c>
      <c r="Z7" s="3508"/>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7" t="s">
        <v>527</v>
      </c>
      <c r="Q8" s="3508"/>
      <c r="R8" s="1502" t="s">
        <v>8</v>
      </c>
      <c r="S8" s="1503">
        <f t="shared" si="0"/>
        <v>0</v>
      </c>
      <c r="T8" s="1502" t="s">
        <v>8</v>
      </c>
      <c r="U8" s="1503">
        <f t="shared" si="1"/>
        <v>0</v>
      </c>
      <c r="V8" s="1502" t="s">
        <v>8</v>
      </c>
      <c r="W8" s="1503">
        <f t="shared" si="2"/>
        <v>0</v>
      </c>
      <c r="X8" s="1504"/>
      <c r="Y8" s="3507" t="s">
        <v>527</v>
      </c>
      <c r="Z8" s="3508"/>
      <c r="AA8" s="1505" t="e">
        <f t="shared" ref="AA8:AA34" si="3">D8/F8</f>
        <v>#DIV/0!</v>
      </c>
      <c r="AB8" s="1505" t="e">
        <f t="shared" ref="AB8:AB34" si="4">D8/H8</f>
        <v>#DIV/0!</v>
      </c>
      <c r="AC8" s="1505"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15" t="s">
        <v>529</v>
      </c>
      <c r="Q9" s="1133" t="str">
        <f t="shared" ref="Q9:Q14" si="6">B9</f>
        <v>用途</v>
      </c>
      <c r="R9" s="1502" t="s">
        <v>8</v>
      </c>
      <c r="S9" s="1503">
        <f t="shared" si="0"/>
        <v>100</v>
      </c>
      <c r="T9" s="1502" t="s">
        <v>8</v>
      </c>
      <c r="U9" s="1503">
        <f t="shared" si="1"/>
        <v>100</v>
      </c>
      <c r="V9" s="1502" t="s">
        <v>8</v>
      </c>
      <c r="W9" s="1503">
        <f t="shared" si="2"/>
        <v>100</v>
      </c>
      <c r="X9" s="1504"/>
      <c r="Y9" s="3466"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15"/>
      <c r="Q10" s="1133" t="str">
        <f t="shared" si="6"/>
        <v>土地使用年限（年）</v>
      </c>
      <c r="R10" s="1502" t="s">
        <v>8</v>
      </c>
      <c r="S10" s="1503">
        <f t="shared" si="0"/>
        <v>100</v>
      </c>
      <c r="T10" s="1502" t="s">
        <v>8</v>
      </c>
      <c r="U10" s="1503">
        <f t="shared" si="1"/>
        <v>100</v>
      </c>
      <c r="V10" s="1502" t="s">
        <v>8</v>
      </c>
      <c r="W10" s="1503">
        <f t="shared" si="2"/>
        <v>100</v>
      </c>
      <c r="X10" s="1504"/>
      <c r="Y10" s="3466"/>
      <c r="Z10" s="1132" t="str">
        <f t="shared" si="7"/>
        <v>土地使用年限（年）</v>
      </c>
      <c r="AA10" s="1505">
        <f t="shared" si="3"/>
        <v>1</v>
      </c>
      <c r="AB10" s="1505">
        <f t="shared" si="4"/>
        <v>1</v>
      </c>
      <c r="AC10" s="1505">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15"/>
      <c r="Q11" s="1133">
        <f t="shared" si="6"/>
        <v>111</v>
      </c>
      <c r="R11" s="1502" t="s">
        <v>8</v>
      </c>
      <c r="S11" s="1503">
        <f t="shared" si="0"/>
        <v>100</v>
      </c>
      <c r="T11" s="1502" t="s">
        <v>8</v>
      </c>
      <c r="U11" s="1503">
        <f t="shared" si="1"/>
        <v>100</v>
      </c>
      <c r="V11" s="1502" t="s">
        <v>8</v>
      </c>
      <c r="W11" s="1503">
        <f t="shared" si="2"/>
        <v>100</v>
      </c>
      <c r="X11" s="1504"/>
      <c r="Y11" s="3466"/>
      <c r="Z11" s="1132">
        <f t="shared" si="7"/>
        <v>111</v>
      </c>
      <c r="AA11" s="1505">
        <f t="shared" si="3"/>
        <v>1</v>
      </c>
      <c r="AB11" s="1505">
        <f t="shared" si="4"/>
        <v>1</v>
      </c>
      <c r="AC11" s="1505">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15"/>
      <c r="Q12" s="1133">
        <f t="shared" si="6"/>
        <v>111</v>
      </c>
      <c r="R12" s="1502" t="s">
        <v>8</v>
      </c>
      <c r="S12" s="1503">
        <f t="shared" si="0"/>
        <v>100</v>
      </c>
      <c r="T12" s="1502" t="s">
        <v>8</v>
      </c>
      <c r="U12" s="1503">
        <f t="shared" si="1"/>
        <v>100</v>
      </c>
      <c r="V12" s="1502" t="s">
        <v>8</v>
      </c>
      <c r="W12" s="1503">
        <f t="shared" si="2"/>
        <v>100</v>
      </c>
      <c r="X12" s="1504"/>
      <c r="Y12" s="3466"/>
      <c r="Z12" s="1132">
        <f t="shared" si="7"/>
        <v>111</v>
      </c>
      <c r="AA12" s="1505">
        <f>D12/F12</f>
        <v>1</v>
      </c>
      <c r="AB12" s="1505">
        <f>D12/H12</f>
        <v>1</v>
      </c>
      <c r="AC12" s="1505">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15"/>
      <c r="Q13" s="1133">
        <f t="shared" si="6"/>
        <v>111</v>
      </c>
      <c r="R13" s="1502" t="s">
        <v>8</v>
      </c>
      <c r="S13" s="1503">
        <f t="shared" si="0"/>
        <v>100</v>
      </c>
      <c r="T13" s="1502" t="s">
        <v>8</v>
      </c>
      <c r="U13" s="1503">
        <f t="shared" si="1"/>
        <v>100</v>
      </c>
      <c r="V13" s="1502" t="s">
        <v>8</v>
      </c>
      <c r="W13" s="1503">
        <f t="shared" si="2"/>
        <v>100</v>
      </c>
      <c r="X13" s="1504"/>
      <c r="Y13" s="3466"/>
      <c r="Z13" s="1132">
        <f t="shared" si="7"/>
        <v>111</v>
      </c>
      <c r="AA13" s="1505">
        <f t="shared" si="3"/>
        <v>1</v>
      </c>
      <c r="AB13" s="1505">
        <f t="shared" si="4"/>
        <v>1</v>
      </c>
      <c r="AC13" s="1505">
        <f t="shared" si="5"/>
        <v>1</v>
      </c>
    </row>
    <row r="14" spans="1:29" ht="15">
      <c r="A14" s="2626" t="s">
        <v>2734</v>
      </c>
      <c r="B14" s="164" t="s">
        <v>537</v>
      </c>
      <c r="C14" s="909" t="str">
        <f>IF(B1="工业",估价对象房地状况!G4,估价对象房地状况!C6)</f>
        <v>较差</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17" t="s">
        <v>534</v>
      </c>
      <c r="Q14" s="1506" t="str">
        <f t="shared" si="6"/>
        <v>交通便捷度</v>
      </c>
      <c r="R14" s="1507" t="s">
        <v>8</v>
      </c>
      <c r="S14" s="1508">
        <f t="shared" si="0"/>
        <v>100</v>
      </c>
      <c r="T14" s="1507" t="s">
        <v>8</v>
      </c>
      <c r="U14" s="1508">
        <f t="shared" si="1"/>
        <v>100</v>
      </c>
      <c r="V14" s="1507" t="s">
        <v>8</v>
      </c>
      <c r="W14" s="1508">
        <f t="shared" si="2"/>
        <v>100</v>
      </c>
      <c r="X14" s="1501"/>
      <c r="Y14" s="3517"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18"/>
      <c r="Q15" s="1506"/>
      <c r="R15" s="1507"/>
      <c r="S15" s="1508"/>
      <c r="T15" s="1507"/>
      <c r="U15" s="1508"/>
      <c r="V15" s="1507"/>
      <c r="W15" s="1508"/>
      <c r="X15" s="1501"/>
      <c r="Y15" s="3518"/>
      <c r="Z15" s="1509"/>
      <c r="AA15" s="1510">
        <v>1</v>
      </c>
      <c r="AB15" s="1510">
        <v>1</v>
      </c>
      <c r="AC15" s="1510">
        <v>1</v>
      </c>
    </row>
    <row r="16" spans="1:29" ht="15">
      <c r="A16" s="526"/>
      <c r="B16" s="2447" t="s">
        <v>2527</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18"/>
      <c r="Q16" s="1506" t="str">
        <f>B16</f>
        <v>公共配套设施</v>
      </c>
      <c r="R16" s="1507" t="s">
        <v>8</v>
      </c>
      <c r="S16" s="1508">
        <f>F16</f>
        <v>100</v>
      </c>
      <c r="T16" s="1507" t="s">
        <v>8</v>
      </c>
      <c r="U16" s="1508">
        <f>H16</f>
        <v>100</v>
      </c>
      <c r="V16" s="1507" t="s">
        <v>8</v>
      </c>
      <c r="W16" s="1508">
        <f>J16</f>
        <v>100</v>
      </c>
      <c r="X16" s="1501"/>
      <c r="Y16" s="3518"/>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18"/>
      <c r="Q17" s="1506"/>
      <c r="R17" s="1507"/>
      <c r="S17" s="1508"/>
      <c r="T17" s="1507"/>
      <c r="U17" s="1508"/>
      <c r="V17" s="1507"/>
      <c r="W17" s="1508"/>
      <c r="X17" s="1501"/>
      <c r="Y17" s="3518"/>
      <c r="Z17" s="1509"/>
      <c r="AA17" s="1510">
        <v>1</v>
      </c>
      <c r="AB17" s="1510">
        <v>1</v>
      </c>
      <c r="AC17" s="1510">
        <v>1</v>
      </c>
    </row>
    <row r="18" spans="1:29" ht="15">
      <c r="A18" s="526"/>
      <c r="B18" s="2435" t="s">
        <v>2539</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18"/>
      <c r="Q18" s="2429" t="str">
        <f>B18</f>
        <v>基础设施水平</v>
      </c>
      <c r="R18" s="1507" t="s">
        <v>8</v>
      </c>
      <c r="S18" s="1508">
        <f>F18</f>
        <v>100</v>
      </c>
      <c r="T18" s="1507" t="s">
        <v>8</v>
      </c>
      <c r="U18" s="1508">
        <f>H18</f>
        <v>100</v>
      </c>
      <c r="V18" s="1507" t="s">
        <v>8</v>
      </c>
      <c r="W18" s="1508">
        <f>J18</f>
        <v>100</v>
      </c>
      <c r="X18" s="2431"/>
      <c r="Y18" s="3518"/>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18"/>
      <c r="Q19" s="2429"/>
      <c r="R19" s="1507"/>
      <c r="S19" s="1508"/>
      <c r="T19" s="1507"/>
      <c r="U19" s="1508"/>
      <c r="V19" s="1507"/>
      <c r="W19" s="1508"/>
      <c r="X19" s="2431"/>
      <c r="Y19" s="3518"/>
      <c r="Z19" s="2430"/>
      <c r="AA19" s="1510">
        <v>1</v>
      </c>
      <c r="AB19" s="1510">
        <v>1</v>
      </c>
      <c r="AC19" s="1510">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18"/>
      <c r="Q20" s="1506" t="str">
        <f>B20</f>
        <v>自然及人文环境</v>
      </c>
      <c r="R20" s="1507" t="s">
        <v>8</v>
      </c>
      <c r="S20" s="1508">
        <f>F20</f>
        <v>100</v>
      </c>
      <c r="T20" s="1507" t="s">
        <v>8</v>
      </c>
      <c r="U20" s="1508">
        <f>H20</f>
        <v>100</v>
      </c>
      <c r="V20" s="1507" t="s">
        <v>8</v>
      </c>
      <c r="W20" s="1508">
        <f>J20</f>
        <v>100</v>
      </c>
      <c r="X20" s="1501"/>
      <c r="Y20" s="3518"/>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18"/>
      <c r="Q21" s="1506"/>
      <c r="R21" s="1507"/>
      <c r="S21" s="1508"/>
      <c r="T21" s="1507"/>
      <c r="U21" s="1508"/>
      <c r="V21" s="1507"/>
      <c r="W21" s="1508"/>
      <c r="X21" s="1501"/>
      <c r="Y21" s="3518"/>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18"/>
      <c r="Q22" s="1506" t="str">
        <f>B22</f>
        <v>楼层</v>
      </c>
      <c r="R22" s="1507" t="s">
        <v>8</v>
      </c>
      <c r="S22" s="1508">
        <f>F22</f>
        <v>100</v>
      </c>
      <c r="T22" s="1507" t="s">
        <v>8</v>
      </c>
      <c r="U22" s="1508">
        <f>H22</f>
        <v>100</v>
      </c>
      <c r="V22" s="1507" t="s">
        <v>8</v>
      </c>
      <c r="W22" s="1508">
        <f>J22</f>
        <v>100</v>
      </c>
      <c r="X22" s="1501"/>
      <c r="Y22" s="3518"/>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18"/>
      <c r="Q23" s="1506">
        <f>B23</f>
        <v>111</v>
      </c>
      <c r="R23" s="1507" t="s">
        <v>8</v>
      </c>
      <c r="S23" s="1508">
        <f>F23</f>
        <v>100</v>
      </c>
      <c r="T23" s="1507" t="s">
        <v>8</v>
      </c>
      <c r="U23" s="1508">
        <f>H23</f>
        <v>100</v>
      </c>
      <c r="V23" s="1507" t="s">
        <v>8</v>
      </c>
      <c r="W23" s="1508">
        <f>J23</f>
        <v>100</v>
      </c>
      <c r="X23" s="1501"/>
      <c r="Y23" s="3518"/>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18"/>
      <c r="Q24" s="1506">
        <f t="shared" ref="Q24:Q34" si="11">B24</f>
        <v>111</v>
      </c>
      <c r="R24" s="1507" t="s">
        <v>8</v>
      </c>
      <c r="S24" s="1508">
        <f>F24</f>
        <v>100</v>
      </c>
      <c r="T24" s="1507" t="s">
        <v>8</v>
      </c>
      <c r="U24" s="1508">
        <f>H24</f>
        <v>100</v>
      </c>
      <c r="V24" s="1507" t="s">
        <v>8</v>
      </c>
      <c r="W24" s="1508">
        <f>J24</f>
        <v>100</v>
      </c>
      <c r="X24" s="1501"/>
      <c r="Y24" s="3518"/>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18"/>
      <c r="Q25" s="1133">
        <f t="shared" si="11"/>
        <v>111</v>
      </c>
      <c r="R25" s="1502" t="s">
        <v>8</v>
      </c>
      <c r="S25" s="1503">
        <f>F25</f>
        <v>100</v>
      </c>
      <c r="T25" s="1502" t="s">
        <v>8</v>
      </c>
      <c r="U25" s="1503">
        <f>H25</f>
        <v>100</v>
      </c>
      <c r="V25" s="1502" t="s">
        <v>8</v>
      </c>
      <c r="W25" s="1503">
        <f>J25</f>
        <v>100</v>
      </c>
      <c r="X25" s="1504"/>
      <c r="Y25" s="3518"/>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19"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0"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20"/>
      <c r="Q27" s="1535" t="str">
        <f t="shared" si="11"/>
        <v>成新率</v>
      </c>
      <c r="R27" s="1511" t="s">
        <v>8</v>
      </c>
      <c r="S27" s="1512" t="e">
        <f t="shared" si="12"/>
        <v>#N/A</v>
      </c>
      <c r="T27" s="1511" t="s">
        <v>8</v>
      </c>
      <c r="U27" s="1512" t="e">
        <f t="shared" si="13"/>
        <v>#N/A</v>
      </c>
      <c r="V27" s="1511" t="s">
        <v>8</v>
      </c>
      <c r="W27" s="1512" t="e">
        <f t="shared" si="14"/>
        <v>#N/A</v>
      </c>
      <c r="X27" s="1513"/>
      <c r="Y27" s="3520"/>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0"/>
      <c r="Q28" s="1506" t="str">
        <f t="shared" si="11"/>
        <v>物业等级</v>
      </c>
      <c r="R28" s="1507" t="s">
        <v>8</v>
      </c>
      <c r="S28" s="1508">
        <f t="shared" si="12"/>
        <v>100</v>
      </c>
      <c r="T28" s="1507" t="s">
        <v>8</v>
      </c>
      <c r="U28" s="1508">
        <f t="shared" si="13"/>
        <v>100</v>
      </c>
      <c r="V28" s="1507" t="s">
        <v>8</v>
      </c>
      <c r="W28" s="1508">
        <f t="shared" si="14"/>
        <v>100</v>
      </c>
      <c r="X28" s="1501"/>
      <c r="Y28" s="3520"/>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20"/>
      <c r="Q29" s="1506" t="str">
        <f t="shared" si="11"/>
        <v>有无电梯</v>
      </c>
      <c r="R29" s="1507" t="s">
        <v>8</v>
      </c>
      <c r="S29" s="1508">
        <f t="shared" si="12"/>
        <v>100</v>
      </c>
      <c r="T29" s="1507" t="s">
        <v>8</v>
      </c>
      <c r="U29" s="1508">
        <f t="shared" si="13"/>
        <v>100</v>
      </c>
      <c r="V29" s="1507" t="s">
        <v>8</v>
      </c>
      <c r="W29" s="1508">
        <f t="shared" si="14"/>
        <v>100</v>
      </c>
      <c r="X29" s="1501"/>
      <c r="Y29" s="3520"/>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20"/>
      <c r="Q30" s="1506" t="str">
        <f t="shared" si="11"/>
        <v>建筑面积</v>
      </c>
      <c r="R30" s="1507" t="s">
        <v>8</v>
      </c>
      <c r="S30" s="1508" t="e">
        <f t="shared" si="12"/>
        <v>#N/A</v>
      </c>
      <c r="T30" s="1507" t="s">
        <v>8</v>
      </c>
      <c r="U30" s="1508" t="e">
        <f t="shared" si="13"/>
        <v>#N/A</v>
      </c>
      <c r="V30" s="1507" t="s">
        <v>8</v>
      </c>
      <c r="W30" s="1508" t="e">
        <f t="shared" si="14"/>
        <v>#N/A</v>
      </c>
      <c r="X30" s="1501"/>
      <c r="Y30" s="3520"/>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20"/>
      <c r="Q31" s="1133" t="str">
        <f t="shared" si="11"/>
        <v>是否封闭</v>
      </c>
      <c r="R31" s="1502" t="s">
        <v>8</v>
      </c>
      <c r="S31" s="1503">
        <f t="shared" si="12"/>
        <v>100</v>
      </c>
      <c r="T31" s="1502" t="s">
        <v>8</v>
      </c>
      <c r="U31" s="1503">
        <f t="shared" si="13"/>
        <v>100</v>
      </c>
      <c r="V31" s="1502" t="s">
        <v>8</v>
      </c>
      <c r="W31" s="1503">
        <f t="shared" si="14"/>
        <v>100</v>
      </c>
      <c r="X31" s="1504"/>
      <c r="Y31" s="3520"/>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20" t="s">
        <v>544</v>
      </c>
      <c r="Q32" s="1506">
        <f t="shared" si="11"/>
        <v>111</v>
      </c>
      <c r="R32" s="1507" t="s">
        <v>8</v>
      </c>
      <c r="S32" s="1508">
        <f t="shared" si="12"/>
        <v>100</v>
      </c>
      <c r="T32" s="1507" t="s">
        <v>8</v>
      </c>
      <c r="U32" s="1508">
        <f t="shared" si="13"/>
        <v>100</v>
      </c>
      <c r="V32" s="1507" t="s">
        <v>8</v>
      </c>
      <c r="W32" s="1508">
        <f t="shared" si="14"/>
        <v>100</v>
      </c>
      <c r="X32" s="1501"/>
      <c r="Y32" s="3520"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20"/>
      <c r="Q33" s="1506">
        <f t="shared" si="11"/>
        <v>111</v>
      </c>
      <c r="R33" s="1507" t="s">
        <v>8</v>
      </c>
      <c r="S33" s="1508">
        <f t="shared" si="12"/>
        <v>100</v>
      </c>
      <c r="T33" s="1507" t="s">
        <v>8</v>
      </c>
      <c r="U33" s="1508">
        <f t="shared" si="13"/>
        <v>100</v>
      </c>
      <c r="V33" s="1507" t="s">
        <v>8</v>
      </c>
      <c r="W33" s="1508">
        <f t="shared" si="14"/>
        <v>100</v>
      </c>
      <c r="X33" s="1501"/>
      <c r="Y33" s="3520"/>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20"/>
      <c r="Q34" s="1506">
        <f t="shared" si="11"/>
        <v>111</v>
      </c>
      <c r="R34" s="1507" t="s">
        <v>8</v>
      </c>
      <c r="S34" s="1508">
        <f t="shared" si="12"/>
        <v>100</v>
      </c>
      <c r="T34" s="1507" t="s">
        <v>8</v>
      </c>
      <c r="U34" s="1508">
        <f t="shared" si="13"/>
        <v>100</v>
      </c>
      <c r="V34" s="1507" t="s">
        <v>8</v>
      </c>
      <c r="W34" s="1508">
        <f t="shared" si="14"/>
        <v>100</v>
      </c>
      <c r="X34" s="1501"/>
      <c r="Y34" s="3520"/>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15" t="str">
        <f>A35</f>
        <v>成交单价（元/平方米）</v>
      </c>
      <c r="Q35" s="3515"/>
      <c r="R35" s="3620">
        <f>E35</f>
        <v>0</v>
      </c>
      <c r="S35" s="3620"/>
      <c r="T35" s="3620">
        <f>G35</f>
        <v>0</v>
      </c>
      <c r="U35" s="3620"/>
      <c r="V35" s="3620">
        <f>I35</f>
        <v>0</v>
      </c>
      <c r="W35" s="3620"/>
      <c r="X35" s="1496"/>
      <c r="Y35" s="1515"/>
      <c r="Z35" s="1496"/>
      <c r="AA35" s="1496"/>
      <c r="AB35" s="1496"/>
      <c r="AC35" s="1496"/>
    </row>
    <row r="36" spans="1:29" ht="15.75" thickBot="1">
      <c r="A36" s="609" t="s">
        <v>2740</v>
      </c>
      <c r="B36" s="876"/>
      <c r="C36" s="2476" t="e">
        <f>R37</f>
        <v>#DIV/0!</v>
      </c>
      <c r="D36" s="3012" t="s">
        <v>2968</v>
      </c>
      <c r="E36" s="2477" t="e">
        <f>R36</f>
        <v>#DIV/0!</v>
      </c>
      <c r="F36" s="3013"/>
      <c r="G36" s="2476" t="e">
        <f>T36</f>
        <v>#DIV/0!</v>
      </c>
      <c r="H36" s="3013"/>
      <c r="I36" s="2477" t="e">
        <f>V36</f>
        <v>#DIV/0!</v>
      </c>
      <c r="J36" s="3013"/>
      <c r="K36" s="3021">
        <f>F36+H36+J36</f>
        <v>0</v>
      </c>
      <c r="L36" s="2026"/>
      <c r="M36" s="2027"/>
      <c r="N36" s="2016"/>
      <c r="O36" s="2027"/>
      <c r="P36" s="3515" t="str">
        <f>A36</f>
        <v>比较价格（元/平方米）</v>
      </c>
      <c r="Q36" s="3515"/>
      <c r="R36" s="3620" t="e">
        <f>IF(F1="售价",ROUND(PRODUCT(R35,AA7:AA34),0),ROUND(PRODUCT(R35,AA7:AA34),1))</f>
        <v>#DIV/0!</v>
      </c>
      <c r="S36" s="3620"/>
      <c r="T36" s="3620" t="e">
        <f>IF(F1="售价",ROUND(PRODUCT(T35,AB7:AB34),0),ROUND(PRODUCT(T35,AB7:AB34),1))</f>
        <v>#DIV/0!</v>
      </c>
      <c r="U36" s="3620"/>
      <c r="V36" s="3620" t="e">
        <f>IF(F1="售价",ROUND(PRODUCT(V35,AC7:AC34),0),ROUND(PRODUCT(V35,AC7:AC34),1))</f>
        <v>#DIV/0!</v>
      </c>
      <c r="W36" s="3620"/>
      <c r="X36" s="1496"/>
      <c r="Y36" s="1496"/>
      <c r="Z36" s="1496"/>
      <c r="AA36" s="1496"/>
      <c r="AB36" s="1496"/>
      <c r="AC36" s="1496"/>
    </row>
    <row r="37" spans="1:29" ht="15.75" thickBot="1">
      <c r="A37" s="613" t="s">
        <v>2899</v>
      </c>
      <c r="B37" s="614"/>
      <c r="C37" s="2478" t="e">
        <f>R37</f>
        <v>#DIV/0!</v>
      </c>
      <c r="D37" s="2478"/>
      <c r="E37" s="2478"/>
      <c r="F37" s="2478"/>
      <c r="G37" s="2478"/>
      <c r="H37" s="2478"/>
      <c r="I37" s="2478"/>
      <c r="J37" s="2478"/>
      <c r="K37" s="1541"/>
      <c r="L37" s="2026"/>
      <c r="M37" s="2027"/>
      <c r="N37" s="2027"/>
      <c r="O37" s="2027"/>
      <c r="P37" s="3536" t="str">
        <f>A37</f>
        <v>估价对象XX用房的比较价格（楼面单价，元/平方米）</v>
      </c>
      <c r="Q37" s="3537"/>
      <c r="R37" s="3621" t="e">
        <f>IF(F1="售价",ROUND(IF(D36="简单平均",AVERAGE(R36:W36),R36*F36+T36*H36+V36*J36),0),ROUND(IF(D36="简单平均",AVERAGE(R36:V36),R36*F36+T36*H36+V36*J36),1))</f>
        <v>#DIV/0!</v>
      </c>
      <c r="S37" s="3621"/>
      <c r="T37" s="3621"/>
      <c r="U37" s="3621"/>
      <c r="V37" s="3621"/>
      <c r="W37" s="3621"/>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2021-4</v>
      </c>
      <c r="D46" s="2521">
        <f>EDATE(C46,-1)</f>
        <v>44256</v>
      </c>
      <c r="E46" s="2521">
        <f t="shared" ref="E46:O46" si="16">EDATE(D46,-1)</f>
        <v>44228</v>
      </c>
      <c r="F46" s="2521">
        <f t="shared" si="16"/>
        <v>44197</v>
      </c>
      <c r="G46" s="2521">
        <f t="shared" si="16"/>
        <v>44166</v>
      </c>
      <c r="H46" s="2521">
        <f t="shared" si="16"/>
        <v>44136</v>
      </c>
      <c r="I46" s="2521">
        <f t="shared" si="16"/>
        <v>44105</v>
      </c>
      <c r="J46" s="2521">
        <f t="shared" si="16"/>
        <v>44075</v>
      </c>
      <c r="K46" s="2521">
        <f t="shared" si="16"/>
        <v>44044</v>
      </c>
      <c r="L46" s="2521">
        <f t="shared" si="16"/>
        <v>44013</v>
      </c>
      <c r="M46" s="2521">
        <f t="shared" si="16"/>
        <v>43983</v>
      </c>
      <c r="N46" s="2521">
        <f t="shared" si="16"/>
        <v>43952</v>
      </c>
      <c r="O46" s="2521">
        <f t="shared" si="16"/>
        <v>43922</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29" t="s">
        <v>2292</v>
      </c>
      <c r="D1" s="3630"/>
      <c r="E1" s="3630"/>
      <c r="F1" s="3630"/>
      <c r="G1" s="3630"/>
      <c r="H1" s="3630"/>
      <c r="I1" s="3630"/>
      <c r="J1" s="3630"/>
      <c r="K1" s="3630"/>
      <c r="L1" s="3630"/>
      <c r="M1" s="3630"/>
      <c r="N1" s="3630"/>
      <c r="O1" s="3630"/>
      <c r="P1" s="3630"/>
      <c r="Q1" s="3630"/>
      <c r="R1" s="3630"/>
      <c r="S1" s="3631"/>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8"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5" t="s">
        <v>2892</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7" t="s">
        <v>2891</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7" t="s">
        <v>2890</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6"/>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5" t="s">
        <v>2903</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5" t="s">
        <v>2889</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5" t="s">
        <v>2888</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26" t="s">
        <v>20</v>
      </c>
      <c r="D22" s="3627"/>
      <c r="E22" s="3627"/>
      <c r="F22" s="3627"/>
      <c r="G22" s="3627"/>
      <c r="H22" s="3627"/>
      <c r="I22" s="3627"/>
      <c r="J22" s="3627"/>
      <c r="K22" s="3627"/>
      <c r="L22" s="3627"/>
      <c r="M22" s="3627"/>
      <c r="N22" s="3627"/>
      <c r="O22" s="3627"/>
      <c r="P22" s="3627"/>
      <c r="Q22" s="3628"/>
      <c r="R22" s="484" t="e">
        <f>ROUND(S22*10000/B22,0)</f>
        <v>#DIV/0!</v>
      </c>
      <c r="S22" s="53">
        <f>SUM(S24:S10000)</f>
        <v>0</v>
      </c>
    </row>
    <row r="23" spans="1:45" s="1542" customFormat="1" ht="24">
      <c r="A23" s="17" t="s">
        <v>824</v>
      </c>
      <c r="B23" s="2859"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3">
        <v>1</v>
      </c>
      <c r="D24" s="3274"/>
      <c r="E24" s="3273">
        <v>1</v>
      </c>
      <c r="F24" s="3274"/>
      <c r="G24" s="3273">
        <v>1</v>
      </c>
      <c r="H24" s="3274"/>
      <c r="I24" s="3273">
        <v>1</v>
      </c>
      <c r="J24" s="3274"/>
      <c r="K24" s="3273">
        <v>1</v>
      </c>
      <c r="L24" s="3274"/>
      <c r="M24" s="3273">
        <v>1</v>
      </c>
      <c r="N24" s="3274"/>
      <c r="O24" s="3273">
        <v>1</v>
      </c>
      <c r="P24" s="3274"/>
      <c r="Q24" s="3273">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93.75">
      <c r="A7" s="2590" t="s">
        <v>2728</v>
      </c>
    </row>
    <row r="8" spans="1:4" ht="18.75">
      <c r="A8" s="1709" t="s">
        <v>1897</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2021年4月29日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4月29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2767</v>
      </c>
      <c r="C1" s="2719">
        <f>项目基本情况!D3</f>
        <v>44315</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2798</v>
      </c>
      <c r="C2" s="2720">
        <f>'数据-取费表'!B22</f>
        <v>2</v>
      </c>
      <c r="D2" s="2715" t="s">
        <v>2768</v>
      </c>
      <c r="E2" s="2718">
        <f ca="1">INDIRECT("I"&amp;$I$1)/100</f>
        <v>3.85E-2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2800</v>
      </c>
      <c r="C3" s="2717">
        <f>'数据-取费表'!B19</f>
        <v>0</v>
      </c>
      <c r="D3" s="2715" t="s">
        <v>2768</v>
      </c>
      <c r="E3" s="2718">
        <f ca="1">INDIRECT("J"&amp;$J$1)/100</f>
        <v>0</v>
      </c>
      <c r="G3" s="2658" t="s">
        <v>2771</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2799</v>
      </c>
      <c r="C4" s="2718">
        <f ca="1">N4/100</f>
        <v>1.4999999999999999E-2</v>
      </c>
      <c r="G4" s="2664" t="s">
        <v>2772</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2773</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2774</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2775</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43941</v>
      </c>
      <c r="D13" s="2702">
        <v>3.85</v>
      </c>
      <c r="E13" s="2702">
        <v>3.85</v>
      </c>
      <c r="F13" s="2702">
        <v>3.85</v>
      </c>
      <c r="G13" s="2702">
        <v>3.85</v>
      </c>
      <c r="H13" s="2702">
        <v>4.6500000000000004</v>
      </c>
      <c r="I13" s="2702"/>
      <c r="J13" s="2702"/>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2998</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2797</v>
      </c>
      <c r="J60" s="2706" t="s">
        <v>2797</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37" sqref="M37"/>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914</v>
      </c>
      <c r="E1" s="2009"/>
      <c r="F1" s="2524" t="s">
        <v>3046</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67038</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28462</v>
      </c>
      <c r="C3" s="841" t="s">
        <v>716</v>
      </c>
      <c r="D3" s="840">
        <f>SUMIF('数据-汇总表'!$C19:$C33,D1,'数据-汇总表'!$E19:$E33)</f>
        <v>23553.4</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21" t="s">
        <v>516</v>
      </c>
      <c r="D4" s="3522"/>
      <c r="E4" s="3546" t="s">
        <v>517</v>
      </c>
      <c r="F4" s="3547"/>
      <c r="G4" s="3521" t="s">
        <v>518</v>
      </c>
      <c r="H4" s="3522"/>
      <c r="I4" s="3521" t="s">
        <v>519</v>
      </c>
      <c r="J4" s="3522"/>
      <c r="K4" s="842" t="s">
        <v>520</v>
      </c>
      <c r="L4" s="2015"/>
      <c r="M4" s="2016"/>
      <c r="N4" s="2016"/>
      <c r="O4" s="2016"/>
      <c r="P4" s="3523" t="s">
        <v>521</v>
      </c>
      <c r="Q4" s="3524"/>
      <c r="R4" s="3509" t="s">
        <v>517</v>
      </c>
      <c r="S4" s="3510"/>
      <c r="T4" s="3509" t="s">
        <v>518</v>
      </c>
      <c r="U4" s="3510"/>
      <c r="V4" s="3529" t="s">
        <v>519</v>
      </c>
      <c r="W4" s="3529"/>
      <c r="X4" s="1501"/>
      <c r="Y4" s="3509" t="s">
        <v>521</v>
      </c>
      <c r="Z4" s="3510"/>
      <c r="AA4" s="3504" t="s">
        <v>517</v>
      </c>
      <c r="AB4" s="3504" t="s">
        <v>518</v>
      </c>
      <c r="AC4" s="3504" t="s">
        <v>519</v>
      </c>
    </row>
    <row r="5" spans="1:29" ht="15">
      <c r="A5" s="509"/>
      <c r="B5" s="510"/>
      <c r="C5" s="3532" t="s">
        <v>2893</v>
      </c>
      <c r="D5" s="3533"/>
      <c r="E5" s="3548" t="str">
        <f>Sheet1!A1</f>
        <v>蓝城春风燕语</v>
      </c>
      <c r="F5" s="3549"/>
      <c r="G5" s="3532" t="str">
        <f>Sheet1!A2</f>
        <v>绿地绿地柏澜晶舍</v>
      </c>
      <c r="H5" s="3533"/>
      <c r="I5" s="3532" t="str">
        <f>Sheet1!A3</f>
        <v>滨江湖光山社</v>
      </c>
      <c r="J5" s="3533"/>
      <c r="K5" s="843"/>
      <c r="L5" s="2015"/>
      <c r="M5" s="2016"/>
      <c r="N5" s="2016"/>
      <c r="O5" s="2016"/>
      <c r="P5" s="3525"/>
      <c r="Q5" s="3526"/>
      <c r="R5" s="3511"/>
      <c r="S5" s="3512"/>
      <c r="T5" s="3511"/>
      <c r="U5" s="3512"/>
      <c r="V5" s="3529"/>
      <c r="W5" s="3529"/>
      <c r="X5" s="1501"/>
      <c r="Y5" s="3511"/>
      <c r="Z5" s="3512"/>
      <c r="AA5" s="3505"/>
      <c r="AB5" s="3505"/>
      <c r="AC5" s="3505"/>
    </row>
    <row r="6" spans="1:29" ht="15.75" thickBot="1">
      <c r="A6" s="511"/>
      <c r="B6" s="512"/>
      <c r="C6" s="3530" t="s">
        <v>2897</v>
      </c>
      <c r="D6" s="3531"/>
      <c r="E6" s="3550" t="s">
        <v>2897</v>
      </c>
      <c r="F6" s="3551"/>
      <c r="G6" s="3530" t="s">
        <v>2897</v>
      </c>
      <c r="H6" s="3531"/>
      <c r="I6" s="3530" t="s">
        <v>2897</v>
      </c>
      <c r="J6" s="3531"/>
      <c r="K6" s="843" t="s">
        <v>522</v>
      </c>
      <c r="L6" s="2015"/>
      <c r="M6" s="2016"/>
      <c r="N6" s="2016"/>
      <c r="O6" s="2016"/>
      <c r="P6" s="3527"/>
      <c r="Q6" s="3528"/>
      <c r="R6" s="3511"/>
      <c r="S6" s="3512"/>
      <c r="T6" s="3513"/>
      <c r="U6" s="3514"/>
      <c r="V6" s="3529"/>
      <c r="W6" s="3529"/>
      <c r="X6" s="1501"/>
      <c r="Y6" s="3513"/>
      <c r="Z6" s="3514"/>
      <c r="AA6" s="3506"/>
      <c r="AB6" s="3506"/>
      <c r="AC6" s="3506"/>
    </row>
    <row r="7" spans="1:29" s="1202" customFormat="1" ht="15.75" thickBot="1">
      <c r="A7" s="2628"/>
      <c r="B7" s="2635" t="s">
        <v>523</v>
      </c>
      <c r="C7" s="513">
        <f>'数据-取费表'!B2</f>
        <v>44315</v>
      </c>
      <c r="D7" s="514">
        <v>100</v>
      </c>
      <c r="E7" s="515">
        <v>44287</v>
      </c>
      <c r="F7" s="516">
        <f>SUMIF(58:58,YEAR(E7)&amp;"-"&amp;MONTH(E7),59:59)</f>
        <v>100</v>
      </c>
      <c r="G7" s="517">
        <v>44287</v>
      </c>
      <c r="H7" s="514">
        <f>SUMIF(58:58,YEAR(G7)&amp;"-"&amp;MONTH(G7),59:59)</f>
        <v>100</v>
      </c>
      <c r="I7" s="517">
        <v>44287</v>
      </c>
      <c r="J7" s="514">
        <f>SUMIF(58:58,YEAR(I7)&amp;"-"&amp;MONTH(I7),59:59)</f>
        <v>100</v>
      </c>
      <c r="K7" s="844"/>
      <c r="L7" s="2017"/>
      <c r="M7" s="2018"/>
      <c r="N7" s="2018"/>
      <c r="O7" s="2018"/>
      <c r="P7" s="3507" t="s">
        <v>524</v>
      </c>
      <c r="Q7" s="3516"/>
      <c r="R7" s="1502" t="s">
        <v>13</v>
      </c>
      <c r="S7" s="1503">
        <f t="shared" ref="S7:S15" si="0">F7</f>
        <v>100</v>
      </c>
      <c r="T7" s="1502" t="s">
        <v>13</v>
      </c>
      <c r="U7" s="1503">
        <f t="shared" ref="U7:U15" si="1">H7</f>
        <v>100</v>
      </c>
      <c r="V7" s="1502" t="s">
        <v>13</v>
      </c>
      <c r="W7" s="1503">
        <f t="shared" ref="W7:W15" si="2">J7</f>
        <v>100</v>
      </c>
      <c r="X7" s="1504"/>
      <c r="Y7" s="3507" t="s">
        <v>524</v>
      </c>
      <c r="Z7" s="3508"/>
      <c r="AA7" s="1505">
        <f>D7/F7</f>
        <v>1</v>
      </c>
      <c r="AB7" s="1505">
        <f>D7/H7</f>
        <v>1</v>
      </c>
      <c r="AC7" s="1505">
        <f>D7/J7</f>
        <v>1</v>
      </c>
    </row>
    <row r="8" spans="1:29" s="1202" customFormat="1" ht="15.75" thickBot="1">
      <c r="A8" s="2629"/>
      <c r="B8" s="2636" t="s">
        <v>525</v>
      </c>
      <c r="C8" s="519" t="s">
        <v>570</v>
      </c>
      <c r="D8" s="514">
        <v>100</v>
      </c>
      <c r="E8" s="3294" t="s">
        <v>3032</v>
      </c>
      <c r="F8" s="516">
        <f>SUMIF(61:61,E8,62:62)-SUMIF(61:61,C8,62:62)+100</f>
        <v>100</v>
      </c>
      <c r="G8" s="3285" t="s">
        <v>3032</v>
      </c>
      <c r="H8" s="514">
        <f>SUMIF(61:61,G8,62:62)-SUMIF(61:61,C8,62:62)+100</f>
        <v>100</v>
      </c>
      <c r="I8" s="3294" t="s">
        <v>3033</v>
      </c>
      <c r="J8" s="514">
        <f>SUMIF(61:61,I8,62:62)-SUMIF(61:61,C8,62:62)+100</f>
        <v>100</v>
      </c>
      <c r="K8" s="844"/>
      <c r="L8" s="2017"/>
      <c r="M8" s="2018"/>
      <c r="N8" s="2018"/>
      <c r="O8" s="2018"/>
      <c r="P8" s="3507" t="s">
        <v>527</v>
      </c>
      <c r="Q8" s="3508"/>
      <c r="R8" s="1502" t="s">
        <v>13</v>
      </c>
      <c r="S8" s="1503">
        <f t="shared" si="0"/>
        <v>100</v>
      </c>
      <c r="T8" s="1502" t="s">
        <v>13</v>
      </c>
      <c r="U8" s="1503">
        <f t="shared" si="1"/>
        <v>100</v>
      </c>
      <c r="V8" s="1502" t="s">
        <v>13</v>
      </c>
      <c r="W8" s="1503">
        <f t="shared" si="2"/>
        <v>100</v>
      </c>
      <c r="X8" s="1504"/>
      <c r="Y8" s="3507" t="s">
        <v>527</v>
      </c>
      <c r="Z8" s="3508"/>
      <c r="AA8" s="1505">
        <f t="shared" ref="AA8:AA46" si="3">D8/F8</f>
        <v>1</v>
      </c>
      <c r="AB8" s="1505">
        <f t="shared" ref="AB8:AB46" si="4">D8/H8</f>
        <v>1</v>
      </c>
      <c r="AC8" s="1505">
        <f t="shared" ref="AC8:AC46" si="5">D8/J8</f>
        <v>1</v>
      </c>
    </row>
    <row r="9" spans="1:29" s="1202" customFormat="1" ht="15">
      <c r="A9" s="2630"/>
      <c r="B9" s="2637" t="s">
        <v>2736</v>
      </c>
      <c r="C9" s="3318" t="s">
        <v>3211</v>
      </c>
      <c r="D9" s="252">
        <v>100</v>
      </c>
      <c r="E9" s="3319" t="s">
        <v>3211</v>
      </c>
      <c r="F9" s="848">
        <f>SUMIF(63:63,E9,64:64)-SUMIF(63:63,C9,64:64)+100</f>
        <v>100</v>
      </c>
      <c r="G9" s="3320" t="s">
        <v>3211</v>
      </c>
      <c r="H9" s="252">
        <f>SUMIF(63:63,G9,64:64)-SUMIF(63:63,C9,64:64)+100</f>
        <v>100</v>
      </c>
      <c r="I9" s="3320" t="s">
        <v>3211</v>
      </c>
      <c r="J9" s="252">
        <f>SUMIF(63:63,I9,64:64)-SUMIF(63:63,C9,64:64)+100</f>
        <v>100</v>
      </c>
      <c r="K9" s="844"/>
      <c r="L9" s="2017"/>
      <c r="M9" s="2018"/>
      <c r="N9" s="2018"/>
      <c r="O9" s="2019"/>
      <c r="P9" s="3515" t="s">
        <v>529</v>
      </c>
      <c r="Q9" s="1133" t="str">
        <f t="shared" ref="Q9:Q15" si="6">B9</f>
        <v>用途</v>
      </c>
      <c r="R9" s="1502" t="s">
        <v>8</v>
      </c>
      <c r="S9" s="1503">
        <f t="shared" si="0"/>
        <v>100</v>
      </c>
      <c r="T9" s="1502" t="s">
        <v>8</v>
      </c>
      <c r="U9" s="1503">
        <f t="shared" si="1"/>
        <v>100</v>
      </c>
      <c r="V9" s="1502" t="s">
        <v>8</v>
      </c>
      <c r="W9" s="1503">
        <f t="shared" si="2"/>
        <v>100</v>
      </c>
      <c r="X9" s="1504"/>
      <c r="Y9" s="3466" t="s">
        <v>530</v>
      </c>
      <c r="Z9" s="1132" t="str">
        <f t="shared" ref="Z9:Z15" si="7">Q9</f>
        <v>用途</v>
      </c>
      <c r="AA9" s="1505">
        <f t="shared" si="3"/>
        <v>1</v>
      </c>
      <c r="AB9" s="1505">
        <f t="shared" si="4"/>
        <v>1</v>
      </c>
      <c r="AC9" s="1505">
        <f t="shared" si="5"/>
        <v>1</v>
      </c>
    </row>
    <row r="10" spans="1:29" s="1291" customFormat="1" ht="27">
      <c r="A10" s="2631"/>
      <c r="B10" s="2636" t="s">
        <v>2737</v>
      </c>
      <c r="C10" s="850" t="s">
        <v>3210</v>
      </c>
      <c r="D10" s="253">
        <v>100</v>
      </c>
      <c r="E10" s="851" t="s">
        <v>3210</v>
      </c>
      <c r="F10" s="852">
        <f>SUMIF(65:65,E10,66:66)-SUMIF(65:65,C10,66:66)+100</f>
        <v>100</v>
      </c>
      <c r="G10" s="850" t="s">
        <v>3210</v>
      </c>
      <c r="H10" s="253">
        <f>SUMIF(65:65,G10,66:66)-SUMIF(65:65,C10,66:66)+100</f>
        <v>100</v>
      </c>
      <c r="I10" s="850" t="s">
        <v>3210</v>
      </c>
      <c r="J10" s="253">
        <f>SUMIF(65:65,I10,66:66)-SUMIF(65:65,C10,66:66)+100</f>
        <v>100</v>
      </c>
      <c r="K10" s="853"/>
      <c r="L10" s="2020"/>
      <c r="M10" s="2059"/>
      <c r="N10" s="2059"/>
      <c r="O10" s="2021"/>
      <c r="P10" s="3515"/>
      <c r="Q10" s="1133" t="str">
        <f t="shared" si="6"/>
        <v>土地使用年限（年）</v>
      </c>
      <c r="R10" s="1502" t="s">
        <v>8</v>
      </c>
      <c r="S10" s="1503">
        <f t="shared" si="0"/>
        <v>100</v>
      </c>
      <c r="T10" s="1502" t="s">
        <v>8</v>
      </c>
      <c r="U10" s="1503">
        <f t="shared" si="1"/>
        <v>100</v>
      </c>
      <c r="V10" s="1502" t="s">
        <v>8</v>
      </c>
      <c r="W10" s="1503">
        <f t="shared" si="2"/>
        <v>100</v>
      </c>
      <c r="X10" s="1504"/>
      <c r="Y10" s="3466"/>
      <c r="Z10" s="1132" t="str">
        <f t="shared" si="7"/>
        <v>土地使用年限（年）</v>
      </c>
      <c r="AA10" s="1505">
        <f t="shared" si="3"/>
        <v>1</v>
      </c>
      <c r="AB10" s="1505">
        <f t="shared" si="4"/>
        <v>1</v>
      </c>
      <c r="AC10" s="1505">
        <f t="shared" si="5"/>
        <v>1</v>
      </c>
    </row>
    <row r="11" spans="1:29" ht="15">
      <c r="A11" s="2632"/>
      <c r="B11" s="2636" t="s">
        <v>2738</v>
      </c>
      <c r="C11" s="527">
        <v>1</v>
      </c>
      <c r="D11" s="253">
        <v>100</v>
      </c>
      <c r="E11" s="528">
        <f>Sheet1!F1</f>
        <v>0.75</v>
      </c>
      <c r="F11" s="852">
        <f>LOOKUP(E11,68:68,69:69)-LOOKUP(C11,68:68,69:69)+100</f>
        <v>102</v>
      </c>
      <c r="G11" s="527">
        <f>Sheet1!F2</f>
        <v>2</v>
      </c>
      <c r="H11" s="253">
        <f>LOOKUP(G11,68:68,69:69)-LOOKUP(C11,68:68,69:69)+100</f>
        <v>96</v>
      </c>
      <c r="I11" s="527">
        <f>Sheet1!F3</f>
        <v>0.97</v>
      </c>
      <c r="J11" s="253">
        <f>LOOKUP(I11,68:68,69:69)-LOOKUP(C11,68:68,69:69)+100</f>
        <v>102</v>
      </c>
      <c r="K11" s="853">
        <v>2</v>
      </c>
      <c r="L11" s="2022"/>
      <c r="M11" s="2016"/>
      <c r="N11" s="2016"/>
      <c r="O11" s="2023"/>
      <c r="P11" s="3515"/>
      <c r="Q11" s="1133" t="str">
        <f t="shared" si="6"/>
        <v>容积率</v>
      </c>
      <c r="R11" s="1502" t="s">
        <v>11</v>
      </c>
      <c r="S11" s="1503">
        <f t="shared" si="0"/>
        <v>102</v>
      </c>
      <c r="T11" s="1502" t="s">
        <v>11</v>
      </c>
      <c r="U11" s="1503">
        <f t="shared" si="1"/>
        <v>96</v>
      </c>
      <c r="V11" s="1502" t="s">
        <v>11</v>
      </c>
      <c r="W11" s="1503">
        <f t="shared" si="2"/>
        <v>102</v>
      </c>
      <c r="X11" s="1504"/>
      <c r="Y11" s="3466"/>
      <c r="Z11" s="1132" t="str">
        <f t="shared" si="7"/>
        <v>容积率</v>
      </c>
      <c r="AA11" s="1505">
        <f t="shared" si="3"/>
        <v>0.98039215686274506</v>
      </c>
      <c r="AB11" s="1505">
        <f t="shared" si="4"/>
        <v>1.0416666666666667</v>
      </c>
      <c r="AC11" s="1505">
        <f t="shared" si="5"/>
        <v>0.98039215686274506</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15"/>
      <c r="Q12" s="1133">
        <f t="shared" si="6"/>
        <v>111</v>
      </c>
      <c r="R12" s="1502" t="s">
        <v>11</v>
      </c>
      <c r="S12" s="1503">
        <f t="shared" si="0"/>
        <v>100</v>
      </c>
      <c r="T12" s="1502" t="s">
        <v>11</v>
      </c>
      <c r="U12" s="1503">
        <f t="shared" si="1"/>
        <v>100</v>
      </c>
      <c r="V12" s="1502" t="s">
        <v>11</v>
      </c>
      <c r="W12" s="1503">
        <f t="shared" si="2"/>
        <v>100</v>
      </c>
      <c r="X12" s="1504"/>
      <c r="Y12" s="3466"/>
      <c r="Z12" s="1132">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15"/>
      <c r="Q13" s="1133">
        <f t="shared" si="6"/>
        <v>111</v>
      </c>
      <c r="R13" s="1502" t="s">
        <v>11</v>
      </c>
      <c r="S13" s="1503">
        <f t="shared" si="0"/>
        <v>100</v>
      </c>
      <c r="T13" s="1502" t="s">
        <v>11</v>
      </c>
      <c r="U13" s="1503">
        <f t="shared" si="1"/>
        <v>100</v>
      </c>
      <c r="V13" s="1502" t="s">
        <v>11</v>
      </c>
      <c r="W13" s="1503">
        <f t="shared" si="2"/>
        <v>100</v>
      </c>
      <c r="X13" s="1504"/>
      <c r="Y13" s="3466"/>
      <c r="Z13" s="1132">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15"/>
      <c r="Q14" s="1133">
        <f t="shared" si="6"/>
        <v>111</v>
      </c>
      <c r="R14" s="1502" t="s">
        <v>11</v>
      </c>
      <c r="S14" s="1503">
        <f t="shared" si="0"/>
        <v>100</v>
      </c>
      <c r="T14" s="1502" t="s">
        <v>11</v>
      </c>
      <c r="U14" s="1503">
        <f t="shared" si="1"/>
        <v>100</v>
      </c>
      <c r="V14" s="1502" t="s">
        <v>11</v>
      </c>
      <c r="W14" s="1503">
        <f t="shared" si="2"/>
        <v>100</v>
      </c>
      <c r="X14" s="1504"/>
      <c r="Y14" s="3466"/>
      <c r="Z14" s="1132">
        <f t="shared" si="7"/>
        <v>111</v>
      </c>
      <c r="AA14" s="1505">
        <f t="shared" si="3"/>
        <v>1</v>
      </c>
      <c r="AB14" s="1505">
        <f t="shared" si="4"/>
        <v>1</v>
      </c>
      <c r="AC14" s="1505">
        <f t="shared" si="5"/>
        <v>1</v>
      </c>
    </row>
    <row r="15" spans="1:29" ht="15">
      <c r="A15" s="2626" t="s">
        <v>2734</v>
      </c>
      <c r="B15" s="164" t="s">
        <v>295</v>
      </c>
      <c r="C15" s="856" t="str">
        <f>估价对象房地状况!C3</f>
        <v>较好</v>
      </c>
      <c r="D15" s="543">
        <v>100</v>
      </c>
      <c r="E15" s="3313" t="s">
        <v>3212</v>
      </c>
      <c r="F15" s="545">
        <f>SUMIF(76:76,E16,77:77)-SUMIF(76:76,C16,77:77)+100</f>
        <v>100</v>
      </c>
      <c r="G15" s="3312" t="s">
        <v>3212</v>
      </c>
      <c r="H15" s="543">
        <f>SUMIF(76:76,G16,77:77)-SUMIF(76:76,C16,77:77)+100</f>
        <v>100</v>
      </c>
      <c r="I15" s="3313" t="s">
        <v>3212</v>
      </c>
      <c r="J15" s="543">
        <f>SUMIF(76:76,I16,77:77)-SUMIF(76:76,C16,77:77)+100</f>
        <v>100</v>
      </c>
      <c r="K15" s="857">
        <v>2</v>
      </c>
      <c r="L15" s="2024"/>
      <c r="M15" s="2016"/>
      <c r="N15" s="2016"/>
      <c r="O15" s="2023"/>
      <c r="P15" s="3517" t="s">
        <v>534</v>
      </c>
      <c r="Q15" s="1506" t="str">
        <f t="shared" si="6"/>
        <v>居住社区成熟度</v>
      </c>
      <c r="R15" s="1507" t="s">
        <v>11</v>
      </c>
      <c r="S15" s="1508">
        <f t="shared" si="0"/>
        <v>100</v>
      </c>
      <c r="T15" s="1507" t="s">
        <v>11</v>
      </c>
      <c r="U15" s="1508">
        <f t="shared" si="1"/>
        <v>100</v>
      </c>
      <c r="V15" s="1507" t="s">
        <v>11</v>
      </c>
      <c r="W15" s="1508">
        <f t="shared" si="2"/>
        <v>100</v>
      </c>
      <c r="X15" s="1501"/>
      <c r="Y15" s="3517" t="s">
        <v>534</v>
      </c>
      <c r="Z15" s="1509" t="str">
        <f t="shared" si="7"/>
        <v>居住社区成熟度</v>
      </c>
      <c r="AA15" s="1510">
        <f t="shared" si="3"/>
        <v>1</v>
      </c>
      <c r="AB15" s="1510">
        <f t="shared" si="4"/>
        <v>1</v>
      </c>
      <c r="AC15" s="1510">
        <f t="shared" si="5"/>
        <v>1</v>
      </c>
    </row>
    <row r="16" spans="1:29" ht="15">
      <c r="A16" s="526"/>
      <c r="B16" s="858"/>
      <c r="C16" s="3292" t="s">
        <v>3034</v>
      </c>
      <c r="D16" s="549"/>
      <c r="E16" s="3288" t="s">
        <v>3034</v>
      </c>
      <c r="F16" s="551"/>
      <c r="G16" s="3287" t="s">
        <v>3034</v>
      </c>
      <c r="H16" s="553"/>
      <c r="I16" s="3288" t="s">
        <v>3034</v>
      </c>
      <c r="J16" s="549"/>
      <c r="K16" s="859"/>
      <c r="L16" s="2024"/>
      <c r="M16" s="2016"/>
      <c r="N16" s="2016"/>
      <c r="O16" s="2023"/>
      <c r="P16" s="3518"/>
      <c r="Q16" s="1506"/>
      <c r="R16" s="1507"/>
      <c r="S16" s="1508"/>
      <c r="T16" s="1507"/>
      <c r="U16" s="1508"/>
      <c r="V16" s="1507"/>
      <c r="W16" s="1508"/>
      <c r="X16" s="1501"/>
      <c r="Y16" s="3518"/>
      <c r="Z16" s="1509"/>
      <c r="AA16" s="1510">
        <v>1</v>
      </c>
      <c r="AB16" s="1510">
        <v>1</v>
      </c>
      <c r="AC16" s="1510">
        <v>1</v>
      </c>
    </row>
    <row r="17" spans="1:29" ht="15">
      <c r="A17" s="526"/>
      <c r="B17" s="860" t="s">
        <v>296</v>
      </c>
      <c r="C17" s="861" t="str">
        <f>估价对象房地状况!C6</f>
        <v>较差</v>
      </c>
      <c r="D17" s="553">
        <v>100</v>
      </c>
      <c r="E17" s="3315" t="s">
        <v>3213</v>
      </c>
      <c r="F17" s="557">
        <f>SUMIF(78:78,E18,79:79)-SUMIF(78:78,C18,79:79)+100</f>
        <v>102</v>
      </c>
      <c r="G17" s="3314" t="s">
        <v>3213</v>
      </c>
      <c r="H17" s="559">
        <f>SUMIF(78:78,G18,79:79)-SUMIF(78:78,C18,79:79)+100</f>
        <v>102</v>
      </c>
      <c r="I17" s="3315" t="s">
        <v>3213</v>
      </c>
      <c r="J17" s="559">
        <f>SUMIF(78:78,I18,79:79)-SUMIF(78:78,C18,79:79)+100</f>
        <v>102</v>
      </c>
      <c r="K17" s="857">
        <v>2</v>
      </c>
      <c r="L17" s="2024"/>
      <c r="M17" s="2016"/>
      <c r="N17" s="2016"/>
      <c r="O17" s="2023"/>
      <c r="P17" s="3518"/>
      <c r="Q17" s="1506" t="str">
        <f>B17</f>
        <v>交通便捷度</v>
      </c>
      <c r="R17" s="1507" t="s">
        <v>11</v>
      </c>
      <c r="S17" s="1508">
        <f>F17</f>
        <v>102</v>
      </c>
      <c r="T17" s="1507" t="s">
        <v>11</v>
      </c>
      <c r="U17" s="1508">
        <f>H17</f>
        <v>102</v>
      </c>
      <c r="V17" s="1507" t="s">
        <v>11</v>
      </c>
      <c r="W17" s="1508">
        <f>J17</f>
        <v>102</v>
      </c>
      <c r="X17" s="1501"/>
      <c r="Y17" s="3518"/>
      <c r="Z17" s="1509" t="str">
        <f>Q17</f>
        <v>交通便捷度</v>
      </c>
      <c r="AA17" s="1510">
        <f t="shared" si="3"/>
        <v>0.98039215686274506</v>
      </c>
      <c r="AB17" s="1510">
        <f t="shared" si="4"/>
        <v>0.98039215686274506</v>
      </c>
      <c r="AC17" s="1510">
        <f t="shared" si="5"/>
        <v>0.98039215686274506</v>
      </c>
    </row>
    <row r="18" spans="1:29" ht="15">
      <c r="A18" s="526"/>
      <c r="B18" s="589"/>
      <c r="C18" s="3295" t="s">
        <v>3035</v>
      </c>
      <c r="D18" s="553"/>
      <c r="E18" s="3291" t="s">
        <v>3036</v>
      </c>
      <c r="F18" s="557"/>
      <c r="G18" s="3290" t="s">
        <v>3036</v>
      </c>
      <c r="H18" s="549"/>
      <c r="I18" s="3291" t="s">
        <v>3037</v>
      </c>
      <c r="J18" s="549"/>
      <c r="K18" s="859"/>
      <c r="L18" s="2024"/>
      <c r="M18" s="2016"/>
      <c r="N18" s="2016"/>
      <c r="O18" s="2023"/>
      <c r="P18" s="3518"/>
      <c r="Q18" s="1506"/>
      <c r="R18" s="1507"/>
      <c r="S18" s="1508"/>
      <c r="T18" s="1507"/>
      <c r="U18" s="1508"/>
      <c r="V18" s="1507"/>
      <c r="W18" s="1508"/>
      <c r="X18" s="1501"/>
      <c r="Y18" s="3518"/>
      <c r="Z18" s="1509"/>
      <c r="AA18" s="1510">
        <v>1</v>
      </c>
      <c r="AB18" s="1510">
        <v>1</v>
      </c>
      <c r="AC18" s="1510">
        <v>1</v>
      </c>
    </row>
    <row r="19" spans="1:29" ht="15">
      <c r="A19" s="526"/>
      <c r="B19" s="2444" t="s">
        <v>2527</v>
      </c>
      <c r="C19" s="861" t="str">
        <f>估价对象房地状况!C7</f>
        <v>较差</v>
      </c>
      <c r="D19" s="559">
        <v>100</v>
      </c>
      <c r="E19" s="3321" t="s">
        <v>3213</v>
      </c>
      <c r="F19" s="565">
        <f>SUMIF(80:80,E20,81:81)-SUMIF(80:80,C20,81:81)+100</f>
        <v>102</v>
      </c>
      <c r="G19" s="3322" t="s">
        <v>3213</v>
      </c>
      <c r="H19" s="553">
        <f>SUMIF(80:80,G20,81:81)-SUMIF(80:80,C20,81:81)+100</f>
        <v>102</v>
      </c>
      <c r="I19" s="3321" t="s">
        <v>3213</v>
      </c>
      <c r="J19" s="553">
        <f>SUMIF(80:80,I20,81:81)-SUMIF(80:80,C20,81:81)+100</f>
        <v>102</v>
      </c>
      <c r="K19" s="857">
        <v>2</v>
      </c>
      <c r="L19" s="2024"/>
      <c r="M19" s="2016"/>
      <c r="N19" s="2016"/>
      <c r="O19" s="2023"/>
      <c r="P19" s="3518"/>
      <c r="Q19" s="1506" t="str">
        <f>B19</f>
        <v>公共配套设施</v>
      </c>
      <c r="R19" s="1507" t="s">
        <v>11</v>
      </c>
      <c r="S19" s="1508">
        <f>F19</f>
        <v>102</v>
      </c>
      <c r="T19" s="1507" t="s">
        <v>11</v>
      </c>
      <c r="U19" s="1508">
        <f>H19</f>
        <v>102</v>
      </c>
      <c r="V19" s="1507" t="s">
        <v>11</v>
      </c>
      <c r="W19" s="1508">
        <f>J19</f>
        <v>102</v>
      </c>
      <c r="X19" s="1501"/>
      <c r="Y19" s="3518"/>
      <c r="Z19" s="1509" t="str">
        <f>Q19</f>
        <v>公共配套设施</v>
      </c>
      <c r="AA19" s="1510">
        <f t="shared" si="3"/>
        <v>0.98039215686274506</v>
      </c>
      <c r="AB19" s="1510">
        <f t="shared" si="4"/>
        <v>0.98039215686274506</v>
      </c>
      <c r="AC19" s="1510">
        <f t="shared" si="5"/>
        <v>0.98039215686274506</v>
      </c>
    </row>
    <row r="20" spans="1:29" ht="15">
      <c r="A20" s="526"/>
      <c r="B20" s="589"/>
      <c r="C20" s="3292" t="s">
        <v>3035</v>
      </c>
      <c r="D20" s="549"/>
      <c r="E20" s="3288" t="s">
        <v>3036</v>
      </c>
      <c r="F20" s="551"/>
      <c r="G20" s="3287" t="s">
        <v>3036</v>
      </c>
      <c r="H20" s="549"/>
      <c r="I20" s="3288" t="s">
        <v>3036</v>
      </c>
      <c r="J20" s="549"/>
      <c r="K20" s="859"/>
      <c r="L20" s="2024"/>
      <c r="M20" s="2016"/>
      <c r="N20" s="2016"/>
      <c r="O20" s="2023"/>
      <c r="P20" s="3518"/>
      <c r="Q20" s="1506"/>
      <c r="R20" s="1507"/>
      <c r="S20" s="1508"/>
      <c r="T20" s="1507"/>
      <c r="U20" s="1508"/>
      <c r="V20" s="1507"/>
      <c r="W20" s="1508"/>
      <c r="X20" s="1501"/>
      <c r="Y20" s="3518"/>
      <c r="Z20" s="1509"/>
      <c r="AA20" s="1510">
        <v>1</v>
      </c>
      <c r="AB20" s="1510">
        <v>1</v>
      </c>
      <c r="AC20" s="1510">
        <v>1</v>
      </c>
    </row>
    <row r="21" spans="1:29" ht="15">
      <c r="A21" s="526"/>
      <c r="B21" s="2437" t="s">
        <v>2539</v>
      </c>
      <c r="C21" s="861" t="str">
        <f>估价对象房地状况!C8</f>
        <v>六通</v>
      </c>
      <c r="D21" s="559">
        <v>100</v>
      </c>
      <c r="E21" s="3322" t="s">
        <v>3214</v>
      </c>
      <c r="F21" s="565">
        <f>SUMIF(82:82,E22,83:83)-SUMIF(82:82,C22,83:83)+100</f>
        <v>100</v>
      </c>
      <c r="G21" s="3322" t="s">
        <v>3214</v>
      </c>
      <c r="H21" s="559">
        <f>SUMIF(82:82,G22,83:83)-SUMIF(82:82,C22,83:83)+100</f>
        <v>100</v>
      </c>
      <c r="I21" s="3321" t="s">
        <v>3214</v>
      </c>
      <c r="J21" s="559">
        <f>SUMIF(82:82,I22,83:83)-SUMIF(82:82,C22,83:83)+100</f>
        <v>100</v>
      </c>
      <c r="K21" s="857">
        <v>2</v>
      </c>
      <c r="L21" s="2024"/>
      <c r="M21" s="2016"/>
      <c r="N21" s="2016"/>
      <c r="O21" s="2023"/>
      <c r="P21" s="3518"/>
      <c r="Q21" s="2429" t="str">
        <f>B21</f>
        <v>基础设施水平</v>
      </c>
      <c r="R21" s="1507" t="s">
        <v>11</v>
      </c>
      <c r="S21" s="1508">
        <f>F21</f>
        <v>100</v>
      </c>
      <c r="T21" s="1507" t="s">
        <v>11</v>
      </c>
      <c r="U21" s="1508">
        <f>H21</f>
        <v>100</v>
      </c>
      <c r="V21" s="1507" t="s">
        <v>11</v>
      </c>
      <c r="W21" s="1508">
        <f>J21</f>
        <v>100</v>
      </c>
      <c r="X21" s="2431"/>
      <c r="Y21" s="3518"/>
      <c r="Z21" s="2430" t="str">
        <f>Q21</f>
        <v>基础设施水平</v>
      </c>
      <c r="AA21" s="1510">
        <f t="shared" ref="AA21" si="8">D21/F21</f>
        <v>1</v>
      </c>
      <c r="AB21" s="1510">
        <f t="shared" ref="AB21" si="9">D21/H21</f>
        <v>1</v>
      </c>
      <c r="AC21" s="1510">
        <f t="shared" ref="AC21" si="10">D21/J21</f>
        <v>1</v>
      </c>
    </row>
    <row r="22" spans="1:29" ht="15">
      <c r="A22" s="526"/>
      <c r="B22" s="910"/>
      <c r="C22" s="3295" t="s">
        <v>3038</v>
      </c>
      <c r="D22" s="549"/>
      <c r="E22" s="3292" t="s">
        <v>3038</v>
      </c>
      <c r="F22" s="551"/>
      <c r="G22" s="3292" t="s">
        <v>3038</v>
      </c>
      <c r="H22" s="549"/>
      <c r="I22" s="3292" t="s">
        <v>3038</v>
      </c>
      <c r="J22" s="549"/>
      <c r="K22" s="2443"/>
      <c r="L22" s="2024"/>
      <c r="M22" s="2016"/>
      <c r="N22" s="2016"/>
      <c r="O22" s="2023"/>
      <c r="P22" s="3518"/>
      <c r="Q22" s="2429"/>
      <c r="R22" s="1507"/>
      <c r="S22" s="1508"/>
      <c r="T22" s="1507"/>
      <c r="U22" s="1508"/>
      <c r="V22" s="1507"/>
      <c r="W22" s="1508"/>
      <c r="X22" s="2431"/>
      <c r="Y22" s="3518"/>
      <c r="Z22" s="2430"/>
      <c r="AA22" s="1510">
        <v>1</v>
      </c>
      <c r="AB22" s="1510">
        <v>1</v>
      </c>
      <c r="AC22" s="1510">
        <v>1</v>
      </c>
    </row>
    <row r="23" spans="1:29" ht="15">
      <c r="A23" s="526"/>
      <c r="B23" s="860" t="s">
        <v>297</v>
      </c>
      <c r="C23" s="861" t="str">
        <f>估价对象房地状况!C9</f>
        <v>一般</v>
      </c>
      <c r="D23" s="553">
        <v>100</v>
      </c>
      <c r="E23" s="3315" t="s">
        <v>3213</v>
      </c>
      <c r="F23" s="557">
        <f>SUMIF(84:84,E24,85:85)-SUMIF(84:84,C24,85:85)+100</f>
        <v>100</v>
      </c>
      <c r="G23" s="3314" t="s">
        <v>3213</v>
      </c>
      <c r="H23" s="553">
        <f>SUMIF(84:84,G24,85:85)-SUMIF(84:84,C24,85:85)+100</f>
        <v>100</v>
      </c>
      <c r="I23" s="3315" t="s">
        <v>3215</v>
      </c>
      <c r="J23" s="553">
        <f>SUMIF(84:84,I24,85:85)-SUMIF(84:84,C24,85:85)+100</f>
        <v>100</v>
      </c>
      <c r="K23" s="857">
        <v>2</v>
      </c>
      <c r="L23" s="2024"/>
      <c r="M23" s="2016"/>
      <c r="N23" s="2016"/>
      <c r="O23" s="2023"/>
      <c r="P23" s="3518"/>
      <c r="Q23" s="1506" t="str">
        <f>B23</f>
        <v>自然及人文环境</v>
      </c>
      <c r="R23" s="1507" t="s">
        <v>11</v>
      </c>
      <c r="S23" s="1508">
        <f>F23</f>
        <v>100</v>
      </c>
      <c r="T23" s="1507" t="s">
        <v>11</v>
      </c>
      <c r="U23" s="1508">
        <f>H23</f>
        <v>100</v>
      </c>
      <c r="V23" s="1507" t="s">
        <v>11</v>
      </c>
      <c r="W23" s="1508">
        <f>J23</f>
        <v>100</v>
      </c>
      <c r="X23" s="1501"/>
      <c r="Y23" s="3518"/>
      <c r="Z23" s="1509" t="str">
        <f>Q23</f>
        <v>自然及人文环境</v>
      </c>
      <c r="AA23" s="1510">
        <f t="shared" si="3"/>
        <v>1</v>
      </c>
      <c r="AB23" s="1510">
        <f t="shared" si="4"/>
        <v>1</v>
      </c>
      <c r="AC23" s="1510">
        <f t="shared" si="5"/>
        <v>1</v>
      </c>
    </row>
    <row r="24" spans="1:29" ht="15.75" thickBot="1">
      <c r="A24" s="526"/>
      <c r="B24" s="589"/>
      <c r="C24" s="3292" t="s">
        <v>3036</v>
      </c>
      <c r="D24" s="549"/>
      <c r="E24" s="3288" t="s">
        <v>3036</v>
      </c>
      <c r="F24" s="551"/>
      <c r="G24" s="3287" t="s">
        <v>3036</v>
      </c>
      <c r="H24" s="549"/>
      <c r="I24" s="3288" t="s">
        <v>3036</v>
      </c>
      <c r="J24" s="549"/>
      <c r="K24" s="859"/>
      <c r="L24" s="2024"/>
      <c r="M24" s="2016"/>
      <c r="N24" s="2016"/>
      <c r="O24" s="2023"/>
      <c r="P24" s="3518"/>
      <c r="Q24" s="1506"/>
      <c r="R24" s="1507"/>
      <c r="S24" s="1508"/>
      <c r="T24" s="1507"/>
      <c r="U24" s="1508"/>
      <c r="V24" s="1507"/>
      <c r="W24" s="1508"/>
      <c r="X24" s="1501"/>
      <c r="Y24" s="3518"/>
      <c r="Z24" s="1509"/>
      <c r="AA24" s="1510">
        <v>1</v>
      </c>
      <c r="AB24" s="1510">
        <v>1</v>
      </c>
      <c r="AC24" s="1510">
        <v>1</v>
      </c>
    </row>
    <row r="25" spans="1:29" ht="15" hidden="1">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18"/>
      <c r="Q25" s="1506" t="str">
        <f t="shared" ref="Q25:Q46" si="11">B25</f>
        <v>楼层-1</v>
      </c>
      <c r="R25" s="1507" t="s">
        <v>11</v>
      </c>
      <c r="S25" s="1508">
        <f>F25</f>
        <v>100</v>
      </c>
      <c r="T25" s="1507" t="s">
        <v>11</v>
      </c>
      <c r="U25" s="1508">
        <f>H25</f>
        <v>100</v>
      </c>
      <c r="V25" s="1507" t="s">
        <v>11</v>
      </c>
      <c r="W25" s="1508">
        <f>J25</f>
        <v>100</v>
      </c>
      <c r="X25" s="1501"/>
      <c r="Y25" s="3518"/>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18"/>
      <c r="Q26" s="1506" t="str">
        <f t="shared" si="11"/>
        <v>朝向</v>
      </c>
      <c r="R26" s="1507" t="s">
        <v>11</v>
      </c>
      <c r="S26" s="1508">
        <f>F26</f>
        <v>100</v>
      </c>
      <c r="T26" s="1507" t="s">
        <v>11</v>
      </c>
      <c r="U26" s="1508">
        <f>H26</f>
        <v>100</v>
      </c>
      <c r="V26" s="1507" t="s">
        <v>11</v>
      </c>
      <c r="W26" s="1508">
        <f>J26</f>
        <v>100</v>
      </c>
      <c r="X26" s="1501"/>
      <c r="Y26" s="3518"/>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18"/>
      <c r="Q27" s="1133" t="str">
        <f t="shared" si="11"/>
        <v>道路级别</v>
      </c>
      <c r="R27" s="1502" t="s">
        <v>11</v>
      </c>
      <c r="S27" s="1503">
        <f>F27</f>
        <v>100</v>
      </c>
      <c r="T27" s="1502" t="s">
        <v>11</v>
      </c>
      <c r="U27" s="1503">
        <f>H27</f>
        <v>100</v>
      </c>
      <c r="V27" s="1502" t="s">
        <v>11</v>
      </c>
      <c r="W27" s="1503">
        <f>J27</f>
        <v>100</v>
      </c>
      <c r="X27" s="1504"/>
      <c r="Y27" s="3518"/>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18"/>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8"/>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18"/>
      <c r="Q29" s="1506">
        <f t="shared" si="11"/>
        <v>111</v>
      </c>
      <c r="R29" s="1507" t="s">
        <v>11</v>
      </c>
      <c r="S29" s="1508">
        <f t="shared" si="12"/>
        <v>100</v>
      </c>
      <c r="T29" s="1507" t="s">
        <v>11</v>
      </c>
      <c r="U29" s="1508">
        <f t="shared" si="13"/>
        <v>100</v>
      </c>
      <c r="V29" s="1507" t="s">
        <v>11</v>
      </c>
      <c r="W29" s="1508">
        <f t="shared" si="14"/>
        <v>100</v>
      </c>
      <c r="X29" s="1501"/>
      <c r="Y29" s="3518"/>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18"/>
      <c r="Q30" s="1506">
        <f t="shared" si="11"/>
        <v>111</v>
      </c>
      <c r="R30" s="1507" t="s">
        <v>11</v>
      </c>
      <c r="S30" s="1508">
        <f t="shared" si="12"/>
        <v>100</v>
      </c>
      <c r="T30" s="1507" t="s">
        <v>11</v>
      </c>
      <c r="U30" s="1508">
        <f t="shared" si="13"/>
        <v>100</v>
      </c>
      <c r="V30" s="1507" t="s">
        <v>11</v>
      </c>
      <c r="W30" s="1508">
        <f t="shared" si="14"/>
        <v>100</v>
      </c>
      <c r="X30" s="1501"/>
      <c r="Y30" s="3518"/>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18"/>
      <c r="Q31" s="1506">
        <f t="shared" si="11"/>
        <v>111</v>
      </c>
      <c r="R31" s="1507" t="s">
        <v>11</v>
      </c>
      <c r="S31" s="1508">
        <f t="shared" si="12"/>
        <v>100</v>
      </c>
      <c r="T31" s="1507" t="s">
        <v>11</v>
      </c>
      <c r="U31" s="1508">
        <f t="shared" si="13"/>
        <v>100</v>
      </c>
      <c r="V31" s="1507" t="s">
        <v>11</v>
      </c>
      <c r="W31" s="1508">
        <f t="shared" si="14"/>
        <v>100</v>
      </c>
      <c r="X31" s="1501"/>
      <c r="Y31" s="3518"/>
      <c r="Z31" s="1509">
        <f t="shared" si="15"/>
        <v>111</v>
      </c>
      <c r="AA31" s="1510">
        <f t="shared" si="3"/>
        <v>1</v>
      </c>
      <c r="AB31" s="1510">
        <f t="shared" si="4"/>
        <v>1</v>
      </c>
      <c r="AC31" s="1510">
        <f t="shared" si="5"/>
        <v>1</v>
      </c>
    </row>
    <row r="32" spans="1:29" ht="15">
      <c r="A32" s="2624" t="s">
        <v>2735</v>
      </c>
      <c r="B32" s="170" t="s">
        <v>719</v>
      </c>
      <c r="C32" s="3296" t="s">
        <v>3039</v>
      </c>
      <c r="D32" s="591">
        <v>100</v>
      </c>
      <c r="E32" s="3297" t="s">
        <v>3040</v>
      </c>
      <c r="F32" s="569">
        <f>SUMIF(100:100,E32,101:101)-SUMIF(100:100,C32,101:101)+100</f>
        <v>98</v>
      </c>
      <c r="G32" s="3296" t="s">
        <v>3040</v>
      </c>
      <c r="H32" s="591">
        <f>SUMIF(100:100,G32,101:101)-SUMIF(100:100,C32,101:101)+100</f>
        <v>98</v>
      </c>
      <c r="I32" s="3297" t="s">
        <v>3039</v>
      </c>
      <c r="J32" s="534">
        <f>SUMIF(100:100,I32,101:101)-SUMIF(100:100,C32,101:101)+100</f>
        <v>100</v>
      </c>
      <c r="K32" s="853">
        <v>2</v>
      </c>
      <c r="L32" s="2024"/>
      <c r="M32" s="2016"/>
      <c r="N32" s="2016"/>
      <c r="O32" s="2023"/>
      <c r="P32" s="3519" t="s">
        <v>544</v>
      </c>
      <c r="Q32" s="1506" t="str">
        <f t="shared" si="11"/>
        <v>建筑类型</v>
      </c>
      <c r="R32" s="1507" t="s">
        <v>11</v>
      </c>
      <c r="S32" s="1508">
        <f t="shared" si="12"/>
        <v>98</v>
      </c>
      <c r="T32" s="1507" t="s">
        <v>11</v>
      </c>
      <c r="U32" s="1508">
        <f t="shared" si="13"/>
        <v>98</v>
      </c>
      <c r="V32" s="1507" t="s">
        <v>11</v>
      </c>
      <c r="W32" s="1508">
        <f t="shared" si="14"/>
        <v>100</v>
      </c>
      <c r="X32" s="1501"/>
      <c r="Y32" s="3520" t="s">
        <v>544</v>
      </c>
      <c r="Z32" s="1509" t="str">
        <f t="shared" si="15"/>
        <v>建筑类型</v>
      </c>
      <c r="AA32" s="1510">
        <f t="shared" si="3"/>
        <v>1.0204081632653061</v>
      </c>
      <c r="AB32" s="1510">
        <f t="shared" si="4"/>
        <v>1.0204081632653061</v>
      </c>
      <c r="AC32" s="1510">
        <f t="shared" si="5"/>
        <v>1</v>
      </c>
    </row>
    <row r="33" spans="1:29" s="1292" customFormat="1" ht="15" hidden="1">
      <c r="A33" s="597"/>
      <c r="B33" s="521" t="s">
        <v>720</v>
      </c>
      <c r="C33" s="868"/>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20"/>
      <c r="Q33" s="1535" t="str">
        <f t="shared" si="11"/>
        <v>项目建筑规模</v>
      </c>
      <c r="R33" s="1511" t="s">
        <v>11</v>
      </c>
      <c r="S33" s="1512">
        <f t="shared" si="12"/>
        <v>100</v>
      </c>
      <c r="T33" s="1511" t="s">
        <v>11</v>
      </c>
      <c r="U33" s="1512">
        <f t="shared" si="13"/>
        <v>100</v>
      </c>
      <c r="V33" s="1511" t="s">
        <v>11</v>
      </c>
      <c r="W33" s="1512">
        <f t="shared" si="14"/>
        <v>100</v>
      </c>
      <c r="X33" s="1513"/>
      <c r="Y33" s="3520"/>
      <c r="Z33" s="1514" t="str">
        <f t="shared" si="15"/>
        <v>项目建筑规模</v>
      </c>
      <c r="AA33" s="1510">
        <f t="shared" si="3"/>
        <v>1</v>
      </c>
      <c r="AB33" s="1510">
        <f t="shared" si="4"/>
        <v>1</v>
      </c>
      <c r="AC33" s="1510">
        <f t="shared" si="5"/>
        <v>1</v>
      </c>
    </row>
    <row r="34" spans="1:29" ht="15">
      <c r="A34" s="588"/>
      <c r="B34" s="521" t="s">
        <v>721</v>
      </c>
      <c r="C34" s="3323" t="s">
        <v>3216</v>
      </c>
      <c r="D34" s="534">
        <v>100</v>
      </c>
      <c r="E34" s="3324" t="s">
        <v>3216</v>
      </c>
      <c r="F34" s="569">
        <f>SUMIF(105:105,E34,106:106)-SUMIF(105:105,C34,106:106)+100</f>
        <v>100</v>
      </c>
      <c r="G34" s="3323" t="s">
        <v>3217</v>
      </c>
      <c r="H34" s="534">
        <f>SUMIF(105:105,G34,106:106)-SUMIF(105:105,C34,106:106)+100</f>
        <v>100</v>
      </c>
      <c r="I34" s="3324" t="s">
        <v>3216</v>
      </c>
      <c r="J34" s="534">
        <f>SUMIF(105:105,I34,106:106)-SUMIF(105:105,C34,106:106)+100</f>
        <v>100</v>
      </c>
      <c r="K34" s="853">
        <v>2</v>
      </c>
      <c r="L34" s="2024"/>
      <c r="M34" s="2016"/>
      <c r="N34" s="2016"/>
      <c r="O34" s="2023"/>
      <c r="P34" s="3520"/>
      <c r="Q34" s="1506" t="str">
        <f t="shared" si="11"/>
        <v>建筑结构</v>
      </c>
      <c r="R34" s="1507" t="s">
        <v>11</v>
      </c>
      <c r="S34" s="1508">
        <f t="shared" si="12"/>
        <v>100</v>
      </c>
      <c r="T34" s="1507" t="s">
        <v>11</v>
      </c>
      <c r="U34" s="1508">
        <f t="shared" si="13"/>
        <v>100</v>
      </c>
      <c r="V34" s="1507" t="s">
        <v>11</v>
      </c>
      <c r="W34" s="1508">
        <f t="shared" si="14"/>
        <v>100</v>
      </c>
      <c r="X34" s="1501"/>
      <c r="Y34" s="3520"/>
      <c r="Z34" s="1509" t="str">
        <f t="shared" si="15"/>
        <v>建筑结构</v>
      </c>
      <c r="AA34" s="1510">
        <f t="shared" si="3"/>
        <v>1</v>
      </c>
      <c r="AB34" s="1510">
        <f t="shared" si="4"/>
        <v>1</v>
      </c>
      <c r="AC34" s="1510">
        <f t="shared" si="5"/>
        <v>1</v>
      </c>
    </row>
    <row r="35" spans="1:29" ht="15">
      <c r="A35" s="588"/>
      <c r="B35" s="521" t="s">
        <v>722</v>
      </c>
      <c r="C35" s="3316" t="s">
        <v>3212</v>
      </c>
      <c r="D35" s="534">
        <v>100</v>
      </c>
      <c r="E35" s="3325" t="s">
        <v>3212</v>
      </c>
      <c r="F35" s="569">
        <f>SUMIF(107:107,E35,108:108)-SUMIF(107:107,C35,108:108)+100</f>
        <v>100</v>
      </c>
      <c r="G35" s="3316" t="s">
        <v>3212</v>
      </c>
      <c r="H35" s="534">
        <f>SUMIF(107:107,G35,108:108)-SUMIF(107:107,C35,108:108)+100</f>
        <v>100</v>
      </c>
      <c r="I35" s="3325" t="s">
        <v>3212</v>
      </c>
      <c r="J35" s="534">
        <f>SUMIF(107:107,I35,108:108)-SUMIF(107:107,C35,108:108)+100</f>
        <v>100</v>
      </c>
      <c r="K35" s="853">
        <v>2</v>
      </c>
      <c r="L35" s="2024"/>
      <c r="M35" s="2016"/>
      <c r="N35" s="2016"/>
      <c r="O35" s="2023"/>
      <c r="P35" s="3520"/>
      <c r="Q35" s="1506" t="str">
        <f t="shared" si="11"/>
        <v>建筑品质</v>
      </c>
      <c r="R35" s="1507" t="s">
        <v>11</v>
      </c>
      <c r="S35" s="1508">
        <f t="shared" si="12"/>
        <v>100</v>
      </c>
      <c r="T35" s="1507" t="s">
        <v>11</v>
      </c>
      <c r="U35" s="1508">
        <f t="shared" si="13"/>
        <v>100</v>
      </c>
      <c r="V35" s="1507" t="s">
        <v>11</v>
      </c>
      <c r="W35" s="1508">
        <f t="shared" si="14"/>
        <v>100</v>
      </c>
      <c r="X35" s="1501"/>
      <c r="Y35" s="3520"/>
      <c r="Z35" s="1509" t="str">
        <f t="shared" si="15"/>
        <v>建筑品质</v>
      </c>
      <c r="AA35" s="1510">
        <f t="shared" si="3"/>
        <v>1</v>
      </c>
      <c r="AB35" s="1510">
        <f t="shared" si="4"/>
        <v>1</v>
      </c>
      <c r="AC35" s="1510">
        <f t="shared" si="5"/>
        <v>1</v>
      </c>
    </row>
    <row r="36" spans="1:29" ht="15">
      <c r="A36" s="588"/>
      <c r="B36" s="521" t="s">
        <v>723</v>
      </c>
      <c r="C36" s="3316" t="s">
        <v>3218</v>
      </c>
      <c r="D36" s="534">
        <v>100</v>
      </c>
      <c r="E36" s="3325" t="s">
        <v>3218</v>
      </c>
      <c r="F36" s="569">
        <f>SUMIF(109:109,E36,110:110)-SUMIF(109:109,C36,110:110)+100</f>
        <v>100</v>
      </c>
      <c r="G36" s="3316" t="s">
        <v>3218</v>
      </c>
      <c r="H36" s="534">
        <f>SUMIF(109:109,G36,110:110)-SUMIF(109:109,C36,110:110)+100</f>
        <v>100</v>
      </c>
      <c r="I36" s="3325" t="s">
        <v>3218</v>
      </c>
      <c r="J36" s="534">
        <f>SUMIF(109:109,I36,110:110)-SUMIF(109:109,C36,110:110)+100</f>
        <v>100</v>
      </c>
      <c r="K36" s="853">
        <v>2</v>
      </c>
      <c r="L36" s="2024"/>
      <c r="M36" s="2016"/>
      <c r="N36" s="2016"/>
      <c r="O36" s="2023"/>
      <c r="P36" s="3520"/>
      <c r="Q36" s="1506" t="str">
        <f t="shared" si="11"/>
        <v>公共部分装修</v>
      </c>
      <c r="R36" s="1507" t="s">
        <v>11</v>
      </c>
      <c r="S36" s="1508">
        <f t="shared" si="12"/>
        <v>100</v>
      </c>
      <c r="T36" s="1507" t="s">
        <v>11</v>
      </c>
      <c r="U36" s="1508">
        <f t="shared" si="13"/>
        <v>100</v>
      </c>
      <c r="V36" s="1507" t="s">
        <v>11</v>
      </c>
      <c r="W36" s="1508">
        <f t="shared" si="14"/>
        <v>100</v>
      </c>
      <c r="X36" s="1501"/>
      <c r="Y36" s="3520"/>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7"/>
      <c r="M37" s="2018"/>
      <c r="N37" s="2018"/>
      <c r="O37" s="2019"/>
      <c r="P37" s="3520"/>
      <c r="Q37" s="1133" t="str">
        <f t="shared" si="11"/>
        <v>成新度</v>
      </c>
      <c r="R37" s="1502" t="s">
        <v>11</v>
      </c>
      <c r="S37" s="1503">
        <f t="shared" si="12"/>
        <v>100</v>
      </c>
      <c r="T37" s="1502" t="s">
        <v>11</v>
      </c>
      <c r="U37" s="1503">
        <f t="shared" si="13"/>
        <v>100</v>
      </c>
      <c r="V37" s="1502" t="s">
        <v>11</v>
      </c>
      <c r="W37" s="1503">
        <f t="shared" si="14"/>
        <v>100</v>
      </c>
      <c r="X37" s="1504"/>
      <c r="Y37" s="3520"/>
      <c r="Z37" s="1132" t="str">
        <f t="shared" si="15"/>
        <v>成新度</v>
      </c>
      <c r="AA37" s="1505">
        <f t="shared" si="3"/>
        <v>1</v>
      </c>
      <c r="AB37" s="1505">
        <f t="shared" si="4"/>
        <v>1</v>
      </c>
      <c r="AC37" s="1505">
        <f t="shared" si="5"/>
        <v>1</v>
      </c>
    </row>
    <row r="38" spans="1:29" ht="15">
      <c r="A38" s="588"/>
      <c r="B38" s="521" t="s">
        <v>725</v>
      </c>
      <c r="C38" s="3316" t="s">
        <v>3219</v>
      </c>
      <c r="D38" s="534">
        <v>100</v>
      </c>
      <c r="E38" s="3325" t="s">
        <v>3219</v>
      </c>
      <c r="F38" s="569">
        <f>SUMIF(114:114,E38,115:115)-SUMIF(114:114,C38,115:115)+100</f>
        <v>100</v>
      </c>
      <c r="G38" s="3316" t="s">
        <v>3219</v>
      </c>
      <c r="H38" s="534">
        <f>SUMIF(114:114,G38,115:115)-SUMIF(114:114,C38,115:115)+100</f>
        <v>100</v>
      </c>
      <c r="I38" s="3325" t="s">
        <v>3219</v>
      </c>
      <c r="J38" s="534">
        <f>SUMIF(114:114,I38,115:115)-SUMIF(114:114,C38,115:115)+100</f>
        <v>100</v>
      </c>
      <c r="K38" s="853">
        <v>2</v>
      </c>
      <c r="L38" s="2024"/>
      <c r="M38" s="2016"/>
      <c r="N38" s="2016"/>
      <c r="O38" s="2023"/>
      <c r="P38" s="3520" t="s">
        <v>544</v>
      </c>
      <c r="Q38" s="1506" t="str">
        <f t="shared" si="11"/>
        <v>物业管理</v>
      </c>
      <c r="R38" s="1507" t="s">
        <v>11</v>
      </c>
      <c r="S38" s="1508">
        <f t="shared" si="12"/>
        <v>100</v>
      </c>
      <c r="T38" s="1507" t="s">
        <v>11</v>
      </c>
      <c r="U38" s="1508">
        <f t="shared" si="13"/>
        <v>100</v>
      </c>
      <c r="V38" s="1507" t="s">
        <v>11</v>
      </c>
      <c r="W38" s="1508">
        <f t="shared" si="14"/>
        <v>100</v>
      </c>
      <c r="X38" s="1501"/>
      <c r="Y38" s="3520" t="s">
        <v>544</v>
      </c>
      <c r="Z38" s="1509" t="str">
        <f t="shared" si="15"/>
        <v>物业管理</v>
      </c>
      <c r="AA38" s="1510">
        <f t="shared" si="3"/>
        <v>1</v>
      </c>
      <c r="AB38" s="1510">
        <f t="shared" si="4"/>
        <v>1</v>
      </c>
      <c r="AC38" s="1510">
        <f t="shared" si="5"/>
        <v>1</v>
      </c>
    </row>
    <row r="39" spans="1:29" ht="15">
      <c r="A39" s="588"/>
      <c r="B39" s="1809" t="s">
        <v>2545</v>
      </c>
      <c r="C39" s="3316" t="s">
        <v>3214</v>
      </c>
      <c r="D39" s="534">
        <v>100</v>
      </c>
      <c r="E39" s="3325" t="s">
        <v>3214</v>
      </c>
      <c r="F39" s="569">
        <f>SUMIF(116:116,E39,117:117)-SUMIF(116:116,C39,117:117)+100</f>
        <v>100</v>
      </c>
      <c r="G39" s="3316" t="s">
        <v>3214</v>
      </c>
      <c r="H39" s="534">
        <f>SUMIF(116:116,G39,117:117)-SUMIF(116:116,C39,117:117)+100</f>
        <v>100</v>
      </c>
      <c r="I39" s="3325" t="s">
        <v>3214</v>
      </c>
      <c r="J39" s="534">
        <f>SUMIF(116:116,I39,117:117)-SUMIF(116:116,C39,117:117)+100</f>
        <v>100</v>
      </c>
      <c r="K39" s="853">
        <v>2</v>
      </c>
      <c r="L39" s="2024"/>
      <c r="M39" s="2016"/>
      <c r="N39" s="2016"/>
      <c r="O39" s="2023"/>
      <c r="P39" s="3520"/>
      <c r="Q39" s="1506" t="str">
        <f t="shared" si="11"/>
        <v>市政基础设施</v>
      </c>
      <c r="R39" s="1507" t="s">
        <v>11</v>
      </c>
      <c r="S39" s="1508">
        <f t="shared" si="12"/>
        <v>100</v>
      </c>
      <c r="T39" s="1507" t="s">
        <v>11</v>
      </c>
      <c r="U39" s="1508">
        <f t="shared" si="13"/>
        <v>100</v>
      </c>
      <c r="V39" s="1507" t="s">
        <v>11</v>
      </c>
      <c r="W39" s="1508">
        <f t="shared" si="14"/>
        <v>100</v>
      </c>
      <c r="X39" s="1501"/>
      <c r="Y39" s="3520"/>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v>2</v>
      </c>
      <c r="L40" s="2024"/>
      <c r="M40" s="2016"/>
      <c r="N40" s="2016"/>
      <c r="O40" s="2023"/>
      <c r="P40" s="3520"/>
      <c r="Q40" s="1506" t="str">
        <f t="shared" si="11"/>
        <v>房型</v>
      </c>
      <c r="R40" s="1507" t="s">
        <v>11</v>
      </c>
      <c r="S40" s="1508">
        <f t="shared" si="12"/>
        <v>100</v>
      </c>
      <c r="T40" s="1507" t="s">
        <v>11</v>
      </c>
      <c r="U40" s="1508">
        <f t="shared" si="13"/>
        <v>100</v>
      </c>
      <c r="V40" s="1507" t="s">
        <v>11</v>
      </c>
      <c r="W40" s="1508">
        <f t="shared" si="14"/>
        <v>100</v>
      </c>
      <c r="X40" s="1501"/>
      <c r="Y40" s="3520"/>
      <c r="Z40" s="1509" t="str">
        <f t="shared" si="15"/>
        <v>房型</v>
      </c>
      <c r="AA40" s="1510">
        <f t="shared" si="3"/>
        <v>1</v>
      </c>
      <c r="AB40" s="1510">
        <f t="shared" si="4"/>
        <v>1</v>
      </c>
      <c r="AC40" s="1510">
        <f t="shared" si="5"/>
        <v>1</v>
      </c>
    </row>
    <row r="41" spans="1:29" s="1292" customFormat="1" ht="28.5" hidden="1">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0"/>
      <c r="Q41" s="1535" t="str">
        <f t="shared" si="11"/>
        <v>单套/主力户型建筑面积</v>
      </c>
      <c r="R41" s="1511" t="s">
        <v>11</v>
      </c>
      <c r="S41" s="1512">
        <f t="shared" si="12"/>
        <v>100</v>
      </c>
      <c r="T41" s="1511" t="s">
        <v>11</v>
      </c>
      <c r="U41" s="1512">
        <f t="shared" si="13"/>
        <v>100</v>
      </c>
      <c r="V41" s="1511" t="s">
        <v>11</v>
      </c>
      <c r="W41" s="1512">
        <f t="shared" si="14"/>
        <v>100</v>
      </c>
      <c r="X41" s="1513"/>
      <c r="Y41" s="3520"/>
      <c r="Z41" s="1514" t="str">
        <f t="shared" si="15"/>
        <v>单套/主力户型建筑面积</v>
      </c>
      <c r="AA41" s="1510">
        <f t="shared" si="3"/>
        <v>1</v>
      </c>
      <c r="AB41" s="1510">
        <f t="shared" si="4"/>
        <v>1</v>
      </c>
      <c r="AC41" s="1510">
        <f t="shared" si="5"/>
        <v>1</v>
      </c>
    </row>
    <row r="42" spans="1:29" ht="15" hidden="1">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v>2</v>
      </c>
      <c r="L42" s="2024"/>
      <c r="M42" s="2016"/>
      <c r="N42" s="2016"/>
      <c r="O42" s="2023"/>
      <c r="P42" s="3520"/>
      <c r="Q42" s="1506" t="str">
        <f t="shared" si="11"/>
        <v>内部装修</v>
      </c>
      <c r="R42" s="1507" t="s">
        <v>11</v>
      </c>
      <c r="S42" s="1508">
        <f t="shared" si="12"/>
        <v>100</v>
      </c>
      <c r="T42" s="1507" t="s">
        <v>11</v>
      </c>
      <c r="U42" s="1508">
        <f t="shared" si="13"/>
        <v>100</v>
      </c>
      <c r="V42" s="1507" t="s">
        <v>11</v>
      </c>
      <c r="W42" s="1508">
        <f t="shared" si="14"/>
        <v>100</v>
      </c>
      <c r="X42" s="1501"/>
      <c r="Y42" s="3520"/>
      <c r="Z42" s="1509" t="str">
        <f t="shared" si="15"/>
        <v>内部装修</v>
      </c>
      <c r="AA42" s="1510">
        <f t="shared" si="3"/>
        <v>1</v>
      </c>
      <c r="AB42" s="1510">
        <f t="shared" si="4"/>
        <v>1</v>
      </c>
      <c r="AC42" s="1510">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v>2</v>
      </c>
      <c r="L43" s="2024"/>
      <c r="M43" s="2016"/>
      <c r="N43" s="2016"/>
      <c r="O43" s="2023"/>
      <c r="P43" s="3520"/>
      <c r="Q43" s="1506" t="str">
        <f t="shared" si="11"/>
        <v>内部装修维护情况</v>
      </c>
      <c r="R43" s="1507" t="s">
        <v>11</v>
      </c>
      <c r="S43" s="1508">
        <f t="shared" si="12"/>
        <v>100</v>
      </c>
      <c r="T43" s="1507" t="s">
        <v>11</v>
      </c>
      <c r="U43" s="1508">
        <f t="shared" si="13"/>
        <v>100</v>
      </c>
      <c r="V43" s="1507" t="s">
        <v>11</v>
      </c>
      <c r="W43" s="1508">
        <f t="shared" si="14"/>
        <v>100</v>
      </c>
      <c r="X43" s="1501"/>
      <c r="Y43" s="3520"/>
      <c r="Z43" s="1509" t="str">
        <f t="shared" si="15"/>
        <v>内部装修维护情况</v>
      </c>
      <c r="AA43" s="1510">
        <f t="shared" si="3"/>
        <v>1</v>
      </c>
      <c r="AB43" s="1510">
        <f t="shared" si="4"/>
        <v>1</v>
      </c>
      <c r="AC43" s="1510">
        <f t="shared" si="5"/>
        <v>1</v>
      </c>
    </row>
    <row r="44" spans="1:29" s="1202" customFormat="1" ht="15.75" thickBot="1">
      <c r="A44" s="594"/>
      <c r="B44" s="3298" t="s">
        <v>3041</v>
      </c>
      <c r="C44" s="3299" t="s">
        <v>3042</v>
      </c>
      <c r="D44" s="253">
        <v>100</v>
      </c>
      <c r="E44" s="3299" t="s">
        <v>3042</v>
      </c>
      <c r="F44" s="852">
        <f>SUMIF(126:126,E44,127:127)-SUMIF(126:126,C44,127:127)+100</f>
        <v>100</v>
      </c>
      <c r="G44" s="3299" t="s">
        <v>3043</v>
      </c>
      <c r="H44" s="253">
        <f>SUMIF(126:126,G44,127:127)-SUMIF(126:126,C44,127:127)+100</f>
        <v>102</v>
      </c>
      <c r="I44" s="3299" t="s">
        <v>3044</v>
      </c>
      <c r="J44" s="253">
        <f>SUMIF(126:126,I44,127:127)-SUMIF(126:126,C44,127:127)+100</f>
        <v>104</v>
      </c>
      <c r="K44" s="854"/>
      <c r="L44" s="2017"/>
      <c r="M44" s="2018"/>
      <c r="N44" s="2018"/>
      <c r="O44" s="2019"/>
      <c r="P44" s="3520"/>
      <c r="Q44" s="1133" t="str">
        <f t="shared" si="11"/>
        <v>规模</v>
      </c>
      <c r="R44" s="1502" t="s">
        <v>11</v>
      </c>
      <c r="S44" s="1503">
        <f t="shared" si="12"/>
        <v>100</v>
      </c>
      <c r="T44" s="1502" t="s">
        <v>11</v>
      </c>
      <c r="U44" s="1503">
        <f t="shared" si="13"/>
        <v>102</v>
      </c>
      <c r="V44" s="1502" t="s">
        <v>11</v>
      </c>
      <c r="W44" s="1503">
        <f t="shared" si="14"/>
        <v>104</v>
      </c>
      <c r="X44" s="1504"/>
      <c r="Y44" s="3520"/>
      <c r="Z44" s="1132" t="str">
        <f t="shared" si="15"/>
        <v>规模</v>
      </c>
      <c r="AA44" s="1505">
        <f t="shared" si="3"/>
        <v>1</v>
      </c>
      <c r="AB44" s="1505">
        <f t="shared" si="4"/>
        <v>0.98039215686274506</v>
      </c>
      <c r="AC44" s="1505">
        <f t="shared" si="5"/>
        <v>0.96153846153846156</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0"/>
      <c r="Q45" s="1506">
        <f t="shared" si="11"/>
        <v>111</v>
      </c>
      <c r="R45" s="1507" t="s">
        <v>11</v>
      </c>
      <c r="S45" s="1508">
        <f t="shared" si="12"/>
        <v>100</v>
      </c>
      <c r="T45" s="1507" t="s">
        <v>11</v>
      </c>
      <c r="U45" s="1508">
        <f t="shared" si="13"/>
        <v>100</v>
      </c>
      <c r="V45" s="1507" t="s">
        <v>11</v>
      </c>
      <c r="W45" s="1508">
        <f t="shared" si="14"/>
        <v>100</v>
      </c>
      <c r="X45" s="1501"/>
      <c r="Y45" s="3520"/>
      <c r="Z45" s="1509">
        <f t="shared" si="15"/>
        <v>111</v>
      </c>
      <c r="AA45" s="1510">
        <f t="shared" si="3"/>
        <v>1</v>
      </c>
      <c r="AB45" s="1510">
        <f t="shared" si="4"/>
        <v>1</v>
      </c>
      <c r="AC45" s="1510">
        <f t="shared" si="5"/>
        <v>1</v>
      </c>
    </row>
    <row r="46" spans="1:29" ht="15.75" hidden="1" thickBot="1">
      <c r="A46" s="874"/>
      <c r="B46" s="538">
        <v>0.88</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19"/>
      <c r="Q46" s="1506">
        <f t="shared" si="11"/>
        <v>0.88</v>
      </c>
      <c r="R46" s="1507" t="s">
        <v>10</v>
      </c>
      <c r="S46" s="1508">
        <f t="shared" si="12"/>
        <v>100</v>
      </c>
      <c r="T46" s="1507" t="s">
        <v>10</v>
      </c>
      <c r="U46" s="1508">
        <f t="shared" si="13"/>
        <v>100</v>
      </c>
      <c r="V46" s="1507" t="s">
        <v>10</v>
      </c>
      <c r="W46" s="1508">
        <f t="shared" si="14"/>
        <v>100</v>
      </c>
      <c r="X46" s="1501"/>
      <c r="Y46" s="3619"/>
      <c r="Z46" s="1509">
        <f t="shared" si="15"/>
        <v>0.88</v>
      </c>
      <c r="AA46" s="1510">
        <f t="shared" si="3"/>
        <v>1</v>
      </c>
      <c r="AB46" s="1510">
        <f t="shared" si="4"/>
        <v>1</v>
      </c>
      <c r="AC46" s="1510">
        <f t="shared" si="5"/>
        <v>1</v>
      </c>
    </row>
    <row r="47" spans="1:29" ht="15">
      <c r="A47" s="601" t="s">
        <v>730</v>
      </c>
      <c r="B47" s="875"/>
      <c r="C47" s="2470" t="s">
        <v>9</v>
      </c>
      <c r="D47" s="2471"/>
      <c r="E47" s="2472">
        <f>B46*37000</f>
        <v>32560</v>
      </c>
      <c r="F47" s="2473"/>
      <c r="G47" s="2474">
        <f>B46*31500</f>
        <v>27720</v>
      </c>
      <c r="H47" s="2475"/>
      <c r="I47" s="2472">
        <f>B46*33000</f>
        <v>29040</v>
      </c>
      <c r="J47" s="2475"/>
      <c r="K47" s="1536"/>
      <c r="L47" s="2026"/>
      <c r="M47" s="2027"/>
      <c r="N47" s="2016"/>
      <c r="O47" s="2027"/>
      <c r="P47" s="3515" t="str">
        <f>A47</f>
        <v>成交单价（元/平方米）</v>
      </c>
      <c r="Q47" s="3515"/>
      <c r="R47" s="3620">
        <f>E47</f>
        <v>32560</v>
      </c>
      <c r="S47" s="3620"/>
      <c r="T47" s="3620">
        <f>G47</f>
        <v>27720</v>
      </c>
      <c r="U47" s="3620"/>
      <c r="V47" s="3620">
        <f>I47</f>
        <v>29040</v>
      </c>
      <c r="W47" s="3620"/>
      <c r="X47" s="1496"/>
      <c r="Y47" s="1515"/>
      <c r="Z47" s="1496"/>
      <c r="AA47" s="1496"/>
      <c r="AB47" s="1496"/>
      <c r="AC47" s="1496"/>
    </row>
    <row r="48" spans="1:29" ht="15.75" thickBot="1">
      <c r="A48" s="609" t="s">
        <v>2740</v>
      </c>
      <c r="B48" s="876"/>
      <c r="C48" s="2476">
        <f>R49</f>
        <v>28462</v>
      </c>
      <c r="D48" s="3012" t="s">
        <v>2967</v>
      </c>
      <c r="E48" s="2477">
        <f>R48</f>
        <v>31308</v>
      </c>
      <c r="F48" s="3013"/>
      <c r="G48" s="2476">
        <f>T48</f>
        <v>27765</v>
      </c>
      <c r="H48" s="3013"/>
      <c r="I48" s="2477">
        <f>V48</f>
        <v>26313</v>
      </c>
      <c r="J48" s="3013"/>
      <c r="K48" s="3021">
        <f>F48+H48+J48</f>
        <v>0</v>
      </c>
      <c r="L48" s="2026"/>
      <c r="M48" s="2027"/>
      <c r="N48" s="2027"/>
      <c r="O48" s="2027"/>
      <c r="P48" s="3515" t="str">
        <f>A48</f>
        <v>比较价格（元/平方米）</v>
      </c>
      <c r="Q48" s="3515"/>
      <c r="R48" s="3620">
        <f>IF(F1="售价",ROUND(PRODUCT(R47,AA7:AA46),0),ROUND(PRODUCT(R47,AA7:AA46),1))</f>
        <v>31308</v>
      </c>
      <c r="S48" s="3620"/>
      <c r="T48" s="3620">
        <f>IF(F1="售价",ROUND(PRODUCT(T47,AB7:AB46),0),ROUND(PRODUCT(T47,AB7:AB46),1))</f>
        <v>27765</v>
      </c>
      <c r="U48" s="3620"/>
      <c r="V48" s="3620">
        <f>IF(F1="售价",ROUND(PRODUCT(V47,AC7:AC46),0),ROUND(PRODUCT(V47,AC7:AC46),1))</f>
        <v>26313</v>
      </c>
      <c r="W48" s="3620"/>
      <c r="X48" s="1496"/>
      <c r="Y48" s="1496"/>
      <c r="Z48" s="1496"/>
      <c r="AA48" s="1496"/>
      <c r="AB48" s="1496"/>
      <c r="AC48" s="1496"/>
    </row>
    <row r="49" spans="1:29" ht="15.75" thickBot="1">
      <c r="A49" s="613" t="s">
        <v>2899</v>
      </c>
      <c r="B49" s="614"/>
      <c r="C49" s="2478">
        <f>R49</f>
        <v>28462</v>
      </c>
      <c r="D49" s="2478"/>
      <c r="E49" s="2478"/>
      <c r="F49" s="2478"/>
      <c r="G49" s="2478"/>
      <c r="H49" s="2478"/>
      <c r="I49" s="2478"/>
      <c r="J49" s="2478"/>
      <c r="K49" s="1537"/>
      <c r="L49" s="2026"/>
      <c r="M49" s="2027"/>
      <c r="N49" s="2027"/>
      <c r="O49" s="2027"/>
      <c r="P49" s="3536" t="str">
        <f>A49</f>
        <v>估价对象XX用房的比较价格（楼面单价，元/平方米）</v>
      </c>
      <c r="Q49" s="3537"/>
      <c r="R49" s="3621">
        <f>IF(F1="售价",ROUND(IF(D48="简单平均",AVERAGE(R48:V48),R48*F48+T48*H48+V48*J48),0),ROUND(IF(D48="简单平均",AVERAGE(R48:V48),R48*F48+T48*H48+V48*J48),1))</f>
        <v>28462</v>
      </c>
      <c r="S49" s="3621"/>
      <c r="T49" s="3621"/>
      <c r="U49" s="3621"/>
      <c r="V49" s="3621"/>
      <c r="W49" s="3621"/>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3.998977897023126E-2</v>
      </c>
      <c r="F52" s="619" t="str">
        <f>IF(OR(E52&gt;=0.3,E52&lt;=-0.3),"超过30%","")</f>
        <v/>
      </c>
      <c r="G52" s="618">
        <f>IF(G47&lt;G48,G48/G47-1,G47/G48-1)</f>
        <v>1.6233766233766378E-3</v>
      </c>
      <c r="H52" s="619" t="str">
        <f>IF(OR(G52&gt;=0.3,G52&lt;=-0.3),"超过30%","")</f>
        <v/>
      </c>
      <c r="I52" s="618">
        <f>IF(I47&lt;I48,I48/I47-1,I47/I48-1)</f>
        <v>0.10363698552046507</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0.12760669908157762</v>
      </c>
      <c r="F53" s="619" t="str">
        <f>IF(OR(E53&gt;=0.2,E53&lt;=-0.2),"超过20%","")</f>
        <v/>
      </c>
      <c r="G53" s="618">
        <f>IF(G48&lt;I48,I48/G48-1,G48/I48-1)</f>
        <v>5.5181849276023209E-2</v>
      </c>
      <c r="H53" s="619" t="str">
        <f>IF(OR(G53&gt;=0.2,G53&lt;=-0.2),"超过20%","")</f>
        <v/>
      </c>
      <c r="I53" s="618">
        <f>IF(I48&lt;E48,E48/I48-1,I48/E48-1)</f>
        <v>0.18983012199293126</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f>IF(E47&lt;G47,G47/E47-1,E47/G47-1)</f>
        <v>0.17460317460317465</v>
      </c>
      <c r="F54" s="619" t="str">
        <f>IF(OR(E54&gt;=0.3,E54&lt;=-0.3),"超过30%","")</f>
        <v/>
      </c>
      <c r="G54" s="618">
        <f>IF(G47&lt;I47,I47/G47-1,G47/I47-1)</f>
        <v>4.7619047619047672E-2</v>
      </c>
      <c r="H54" s="619" t="str">
        <f>IF(OR(G54&gt;=0.3,G54&lt;=-0.3),"超过30%","")</f>
        <v/>
      </c>
      <c r="I54" s="618">
        <f>IF(I47&lt;E47,E47/I47-1,I47/E47-1)</f>
        <v>0.1212121212121211</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2021-4</v>
      </c>
      <c r="D58" s="2521">
        <f>EDATE(C58,-1)</f>
        <v>44256</v>
      </c>
      <c r="E58" s="2521">
        <f t="shared" ref="E58:O58" si="16">EDATE(D58,-1)</f>
        <v>44228</v>
      </c>
      <c r="F58" s="2521">
        <f t="shared" si="16"/>
        <v>44197</v>
      </c>
      <c r="G58" s="2521">
        <f t="shared" si="16"/>
        <v>44166</v>
      </c>
      <c r="H58" s="2521">
        <f t="shared" si="16"/>
        <v>44136</v>
      </c>
      <c r="I58" s="2521">
        <f t="shared" si="16"/>
        <v>44105</v>
      </c>
      <c r="J58" s="2521">
        <f t="shared" si="16"/>
        <v>44075</v>
      </c>
      <c r="K58" s="2521">
        <f t="shared" si="16"/>
        <v>44044</v>
      </c>
      <c r="L58" s="2521">
        <f t="shared" si="16"/>
        <v>44013</v>
      </c>
      <c r="M58" s="2521">
        <f t="shared" si="16"/>
        <v>43983</v>
      </c>
      <c r="N58" s="2521">
        <f t="shared" si="16"/>
        <v>43952</v>
      </c>
      <c r="O58" s="2521">
        <f t="shared" si="16"/>
        <v>43922</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301" t="s">
        <v>3047</v>
      </c>
      <c r="D100" s="3301" t="s">
        <v>3040</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10000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98</v>
      </c>
      <c r="E119" s="671">
        <f t="shared" si="28"/>
        <v>96</v>
      </c>
      <c r="F119" s="671">
        <f t="shared" si="28"/>
        <v>94</v>
      </c>
      <c r="G119" s="671">
        <f t="shared" si="28"/>
        <v>92</v>
      </c>
      <c r="H119" s="671">
        <f t="shared" si="28"/>
        <v>90</v>
      </c>
      <c r="I119" s="671">
        <f t="shared" si="28"/>
        <v>88</v>
      </c>
      <c r="J119" s="671">
        <f t="shared" si="28"/>
        <v>86</v>
      </c>
      <c r="K119" s="671">
        <f t="shared" si="28"/>
        <v>84</v>
      </c>
      <c r="L119" s="671">
        <f t="shared" si="28"/>
        <v>82</v>
      </c>
      <c r="M119" s="671">
        <f t="shared" si="28"/>
        <v>80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规模</v>
      </c>
      <c r="C126" s="3300" t="s">
        <v>3045</v>
      </c>
      <c r="D126" s="3300" t="s">
        <v>3043</v>
      </c>
      <c r="E126" s="3300" t="s">
        <v>3042</v>
      </c>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98</v>
      </c>
      <c r="E127" s="663">
        <v>96</v>
      </c>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0.88</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 priority="19" stopIfTrue="1" operator="containsText" text="超过">
      <formula>NOT(ISERROR(SEARCH("超过",F52)))</formula>
    </cfRule>
  </conditionalFormatting>
  <conditionalFormatting sqref="J54">
    <cfRule type="containsText" dxfId="16" priority="18" stopIfTrue="1" operator="containsText" text="超过">
      <formula>NOT(ISERROR(SEARCH("超过",J54)))</formula>
    </cfRule>
  </conditionalFormatting>
  <conditionalFormatting sqref="H54">
    <cfRule type="containsText" dxfId="15" priority="17" stopIfTrue="1" operator="containsText" text="超过">
      <formula>NOT(ISERROR(SEARCH("超过",H54)))</formula>
    </cfRule>
  </conditionalFormatting>
  <conditionalFormatting sqref="F54">
    <cfRule type="containsText" dxfId="14" priority="16" stopIfTrue="1" operator="containsText" text="超过">
      <formula>NOT(ISERROR(SEARCH("超过",F54)))</formula>
    </cfRule>
  </conditionalFormatting>
  <conditionalFormatting sqref="F53 H53 J53">
    <cfRule type="containsText" dxfId="13" priority="15" stopIfTrue="1" operator="containsText" text="超过">
      <formula>NOT(ISERROR(SEARCH("超过",F53)))</formula>
    </cfRule>
  </conditionalFormatting>
  <conditionalFormatting sqref="E52">
    <cfRule type="expression" dxfId="12" priority="14"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topLeftCell="B1" workbookViewId="0">
      <selection activeCell="F18" sqref="F18"/>
    </sheetView>
  </sheetViews>
  <sheetFormatPr defaultRowHeight="13.5"/>
  <cols>
    <col min="1" max="1" width="17.25" customWidth="1"/>
    <col min="3" max="3" width="26.125" customWidth="1"/>
    <col min="4" max="4" width="11.375" customWidth="1"/>
  </cols>
  <sheetData>
    <row r="1" spans="1:7">
      <c r="A1" s="3245" t="s">
        <v>3010</v>
      </c>
      <c r="B1" s="3245" t="s">
        <v>3011</v>
      </c>
      <c r="C1" s="3245" t="s">
        <v>3012</v>
      </c>
      <c r="D1" s="3245" t="s">
        <v>3013</v>
      </c>
      <c r="E1">
        <f>ROUND(550/148*10000,0)</f>
        <v>37162</v>
      </c>
      <c r="F1">
        <v>0.75</v>
      </c>
      <c r="G1" s="3245" t="s">
        <v>3014</v>
      </c>
    </row>
    <row r="2" spans="1:7">
      <c r="A2" s="3245" t="s">
        <v>3015</v>
      </c>
      <c r="B2" s="3245" t="s">
        <v>3016</v>
      </c>
      <c r="C2" s="3245" t="s">
        <v>3017</v>
      </c>
      <c r="D2" s="3245" t="s">
        <v>3023</v>
      </c>
      <c r="E2">
        <f>ROUND(404/128*10000,0)</f>
        <v>31563</v>
      </c>
      <c r="F2">
        <v>2</v>
      </c>
      <c r="G2" s="3245" t="s">
        <v>3018</v>
      </c>
    </row>
    <row r="3" spans="1:7">
      <c r="A3" s="3245" t="s">
        <v>3019</v>
      </c>
      <c r="B3" s="3245" t="s">
        <v>3020</v>
      </c>
      <c r="D3">
        <v>33000</v>
      </c>
      <c r="F3">
        <v>0.97</v>
      </c>
      <c r="G3" s="3245" t="s">
        <v>3021</v>
      </c>
    </row>
    <row r="4" spans="1:7">
      <c r="A4" s="3245" t="s">
        <v>3022</v>
      </c>
      <c r="B4" s="3245" t="s">
        <v>3020</v>
      </c>
      <c r="D4">
        <v>30000</v>
      </c>
      <c r="F4">
        <v>1.2</v>
      </c>
      <c r="G4" s="3245" t="s">
        <v>3018</v>
      </c>
    </row>
    <row r="15" spans="1:7">
      <c r="D15" s="3245" t="s">
        <v>3188</v>
      </c>
      <c r="E15" s="3245" t="s">
        <v>3189</v>
      </c>
      <c r="F15" s="3245" t="s">
        <v>3190</v>
      </c>
    </row>
    <row r="16" spans="1:7">
      <c r="D16" s="3245" t="s">
        <v>3191</v>
      </c>
      <c r="E16">
        <f ca="1">系统读取表!D14</f>
        <v>33537</v>
      </c>
      <c r="F16">
        <f ca="1">系统读取表!I14</f>
        <v>18063</v>
      </c>
    </row>
    <row r="17" spans="4:6">
      <c r="D17" s="3245" t="s">
        <v>3192</v>
      </c>
      <c r="E17">
        <f ca="1">系统读取表!D15</f>
        <v>23281</v>
      </c>
      <c r="F17">
        <f ca="1">系统读取表!I15</f>
        <v>12540</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0" t="s">
        <v>2027</v>
      </c>
      <c r="B1" s="3330"/>
      <c r="C1" s="3330"/>
      <c r="D1" s="3330"/>
      <c r="E1" s="3330"/>
      <c r="F1" s="3330"/>
      <c r="G1" s="3330"/>
      <c r="H1" s="3330"/>
      <c r="I1" s="3330"/>
      <c r="J1" s="3330"/>
      <c r="K1" s="3330"/>
      <c r="L1" s="3330"/>
      <c r="M1" s="3330"/>
      <c r="N1" s="3330"/>
      <c r="O1" s="3330"/>
      <c r="P1" s="3330"/>
      <c r="Q1" s="3330"/>
      <c r="R1" s="3330"/>
    </row>
    <row r="2" spans="1:18">
      <c r="A2" s="1722" t="s">
        <v>2029</v>
      </c>
      <c r="B2" s="1722"/>
      <c r="C2" s="1722"/>
      <c r="D2" s="1722"/>
      <c r="E2" s="1722"/>
      <c r="F2" s="1722"/>
      <c r="G2" s="1722"/>
      <c r="H2" s="1722"/>
      <c r="I2" s="1723"/>
      <c r="J2" s="1723"/>
      <c r="K2" s="1724" t="str">
        <f>"估价期日："&amp;TEXT(项目基本情况!D3,"yyyy年m月d日;;")</f>
        <v>估价期日：2021年4月29日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31" t="s">
        <v>2018</v>
      </c>
      <c r="B3" s="3331" t="s">
        <v>2711</v>
      </c>
      <c r="C3" s="3332" t="s">
        <v>2019</v>
      </c>
      <c r="D3" s="3331" t="s">
        <v>2715</v>
      </c>
      <c r="E3" s="3334" t="s">
        <v>2020</v>
      </c>
      <c r="F3" s="3334"/>
      <c r="G3" s="3334"/>
      <c r="H3" s="3334" t="s">
        <v>2021</v>
      </c>
      <c r="I3" s="3334"/>
      <c r="J3" s="3334"/>
      <c r="K3" s="3332" t="s">
        <v>2022</v>
      </c>
      <c r="L3" s="3332" t="s">
        <v>2023</v>
      </c>
      <c r="M3" s="3331" t="s">
        <v>2712</v>
      </c>
      <c r="N3" s="3333" t="str">
        <f>"（分摊）"&amp;项目基本情况!B16&amp;"国有建设用地使用权面积/㎡"</f>
        <v>（分摊）出让国有建设用地使用权面积/㎡</v>
      </c>
      <c r="O3" s="3331" t="s">
        <v>2052</v>
      </c>
      <c r="P3" s="3332" t="s">
        <v>2032</v>
      </c>
      <c r="Q3" s="3332" t="s">
        <v>2053</v>
      </c>
      <c r="R3" s="3332" t="s">
        <v>2024</v>
      </c>
    </row>
    <row r="4" spans="1:18" ht="36.75" customHeight="1">
      <c r="A4" s="3331"/>
      <c r="B4" s="3331"/>
      <c r="C4" s="3332"/>
      <c r="D4" s="3331"/>
      <c r="E4" s="2491" t="s">
        <v>2031</v>
      </c>
      <c r="F4" s="2491" t="s">
        <v>2724</v>
      </c>
      <c r="G4" s="2491" t="s">
        <v>2025</v>
      </c>
      <c r="H4" s="2491" t="s">
        <v>2026</v>
      </c>
      <c r="I4" s="2491" t="s">
        <v>2725</v>
      </c>
      <c r="J4" s="2491" t="s">
        <v>2025</v>
      </c>
      <c r="K4" s="3332"/>
      <c r="L4" s="3332"/>
      <c r="M4" s="3331"/>
      <c r="N4" s="3333"/>
      <c r="O4" s="3331"/>
      <c r="P4" s="3332"/>
      <c r="Q4" s="3332"/>
      <c r="R4" s="3332"/>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23553.4</v>
      </c>
      <c r="O5" s="1725">
        <f>项目基本情况!C21</f>
        <v>23553.4</v>
      </c>
      <c r="P5" s="1725">
        <f ca="1">结果表!E42</f>
        <v>14239</v>
      </c>
      <c r="Q5" s="1725">
        <f ca="1">结果表!D42</f>
        <v>14239</v>
      </c>
      <c r="R5" s="1726">
        <f ca="1">结果表!C42</f>
        <v>33537</v>
      </c>
    </row>
    <row r="6" spans="1:18">
      <c r="A6" s="3327" t="str">
        <f>IF(项目基本情况!B9="市场价格","——","抵押价格")</f>
        <v>抵押价格</v>
      </c>
      <c r="B6" s="3328"/>
      <c r="C6" s="3328"/>
      <c r="D6" s="3328"/>
      <c r="E6" s="3328"/>
      <c r="F6" s="3328"/>
      <c r="G6" s="3328"/>
      <c r="H6" s="3328"/>
      <c r="I6" s="3328"/>
      <c r="J6" s="3328"/>
      <c r="K6" s="3328"/>
      <c r="L6" s="3328"/>
      <c r="M6" s="3328"/>
      <c r="N6" s="3328"/>
      <c r="O6" s="3328"/>
      <c r="P6" s="3328"/>
      <c r="Q6" s="3329"/>
      <c r="R6" s="1727">
        <f ca="1">结果表!O39</f>
        <v>33537</v>
      </c>
    </row>
    <row r="7" spans="1:18">
      <c r="A7" s="3327" t="str">
        <f>IF(项目基本情况!B9="市场价格","——",IF(项目基本情况!E8="已注销及未注销","抵押担保权已注销时的抵押价格","——"))</f>
        <v>——</v>
      </c>
      <c r="B7" s="3328"/>
      <c r="C7" s="3328"/>
      <c r="D7" s="3328"/>
      <c r="E7" s="3328"/>
      <c r="F7" s="3328"/>
      <c r="G7" s="3328"/>
      <c r="H7" s="3328"/>
      <c r="I7" s="3328"/>
      <c r="J7" s="3328"/>
      <c r="K7" s="3328"/>
      <c r="L7" s="3328"/>
      <c r="M7" s="3328"/>
      <c r="N7" s="3328"/>
      <c r="O7" s="3328"/>
      <c r="P7" s="3328"/>
      <c r="Q7" s="3329"/>
      <c r="R7" s="1727" t="str">
        <f>结果表!O40</f>
        <v>——</v>
      </c>
    </row>
    <row r="8" spans="1:18">
      <c r="A8" s="3327" t="str">
        <f>IF(项目基本情况!B9="市场价格","——",项目基本情况!E9)</f>
        <v>抵押净值</v>
      </c>
      <c r="B8" s="3328"/>
      <c r="C8" s="3328"/>
      <c r="D8" s="3328"/>
      <c r="E8" s="3328"/>
      <c r="F8" s="3328"/>
      <c r="G8" s="3328"/>
      <c r="H8" s="3328"/>
      <c r="I8" s="3328"/>
      <c r="J8" s="3328"/>
      <c r="K8" s="3328"/>
      <c r="L8" s="3328"/>
      <c r="M8" s="3328"/>
      <c r="N8" s="3328"/>
      <c r="O8" s="3328"/>
      <c r="P8" s="3328"/>
      <c r="Q8" s="3329"/>
      <c r="R8" s="1727">
        <f ca="1">结果表!O41</f>
        <v>18063</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35" t="s">
        <v>2054</v>
      </c>
      <c r="B1" s="3335"/>
      <c r="C1" s="3335"/>
      <c r="D1" s="3335"/>
    </row>
    <row r="2" spans="1:4" ht="47.25" customHeight="1">
      <c r="A2" s="3339" t="str">
        <f>"1.权利限制："&amp;项目基本情况!L24&amp;"未设定租赁等其他他项权利。"</f>
        <v>1.权利限制：根据估价对象《不动产权证书》原件、《国有土地使用权》复印件，截至估价期日，估价对象抵押权未见登记。未设定租赁等其他他项权利。</v>
      </c>
      <c r="B2" s="3339"/>
      <c r="C2" s="3339"/>
      <c r="D2" s="3339"/>
    </row>
    <row r="3" spans="1:4" ht="48" customHeight="1">
      <c r="A3" s="33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5"/>
      <c r="C3" s="3335"/>
      <c r="D3" s="3335"/>
    </row>
    <row r="4" spans="1:4" ht="36.75" customHeight="1">
      <c r="A4" s="3335" t="str">
        <f>"3.估价规划限制条件：详见"&amp;项目基本情况!E21&amp;"。"</f>
        <v>3.估价规划限制条件：详见《建设工程规划许可证》[]、《出让合同》[]。</v>
      </c>
      <c r="B4" s="3335"/>
      <c r="C4" s="3335"/>
      <c r="D4" s="3335"/>
    </row>
    <row r="5" spans="1:4">
      <c r="A5" s="3338" t="s">
        <v>2055</v>
      </c>
      <c r="B5" s="3338"/>
      <c r="C5" s="3338"/>
      <c r="D5" s="3338"/>
    </row>
    <row r="6" spans="1:4">
      <c r="A6" s="3335" t="s">
        <v>2033</v>
      </c>
      <c r="B6" s="3335"/>
      <c r="C6" s="3335"/>
      <c r="D6" s="3335"/>
    </row>
    <row r="7" spans="1:4" ht="33" customHeight="1">
      <c r="A7" s="3335" t="s">
        <v>2555</v>
      </c>
      <c r="B7" s="3335"/>
      <c r="C7" s="3335"/>
      <c r="D7" s="3335"/>
    </row>
    <row r="8" spans="1:4" ht="32.25" customHeight="1">
      <c r="A8" s="33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5"/>
      <c r="C8" s="3335"/>
      <c r="D8" s="3335"/>
    </row>
    <row r="9" spans="1:4" ht="33.75" customHeight="1">
      <c r="A9" s="33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5"/>
      <c r="C9" s="3335"/>
      <c r="D9" s="3335"/>
    </row>
    <row r="10" spans="1:4">
      <c r="A10" s="3335" t="str">
        <f>IF(项目基本情况!B8="抵押","4.估价师所知悉的法定优先受偿款情况为：","——")</f>
        <v>4.估价师所知悉的法定优先受偿款情况为：</v>
      </c>
      <c r="B10" s="3335"/>
      <c r="C10" s="3335"/>
      <c r="D10" s="3335"/>
    </row>
    <row r="11" spans="1:4" ht="37.5" customHeight="1">
      <c r="A11" s="33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7"/>
      <c r="C11" s="3337"/>
      <c r="D11" s="3337"/>
    </row>
    <row r="12" spans="1:4" ht="168" customHeight="1">
      <c r="A12" s="3338" t="s">
        <v>2057</v>
      </c>
      <c r="B12" s="3338"/>
      <c r="C12" s="3338"/>
      <c r="D12" s="3338"/>
    </row>
    <row r="13" spans="1:4">
      <c r="A13" s="3336" t="s">
        <v>2726</v>
      </c>
      <c r="B13" s="3336"/>
      <c r="C13" s="3336"/>
      <c r="D13" s="3336"/>
    </row>
    <row r="14" spans="1:4">
      <c r="A14" s="3337" t="str">
        <f>IF(项目基本情况!B8="抵押","综上，"&amp;结果表!K47,"——")</f>
        <v>综上，本次评估不存在估价师知悉的法定优先受偿款</v>
      </c>
      <c r="B14" s="3337"/>
      <c r="C14" s="3337"/>
      <c r="D14" s="3337"/>
    </row>
    <row r="15" spans="1:4" ht="58.5" customHeight="1">
      <c r="A15" s="33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5"/>
      <c r="C15" s="3335"/>
      <c r="D15" s="3335"/>
    </row>
    <row r="16" spans="1:4" ht="70.5" customHeight="1">
      <c r="A16" s="33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5"/>
      <c r="C16" s="3335"/>
      <c r="D16" s="3335"/>
    </row>
    <row r="17" spans="1:4">
      <c r="A17" s="3335" t="s">
        <v>2682</v>
      </c>
      <c r="B17" s="3335"/>
      <c r="C17" s="3335"/>
      <c r="D17" s="3335"/>
    </row>
    <row r="18" spans="1:4">
      <c r="A18" s="3335" t="s">
        <v>2674</v>
      </c>
      <c r="B18" s="3335"/>
      <c r="C18" s="3335"/>
      <c r="D18" s="3335"/>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35" t="s">
        <v>2679</v>
      </c>
      <c r="B23" s="3335"/>
      <c r="C23" s="3335"/>
      <c r="D23" s="3335"/>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7" t="s">
        <v>53</v>
      </c>
      <c r="B15" s="3348" t="s">
        <v>838</v>
      </c>
      <c r="C15" s="3344"/>
    </row>
    <row r="16" spans="1:7" ht="14.25">
      <c r="A16" s="3347"/>
      <c r="B16" s="3345" t="s">
        <v>54</v>
      </c>
      <c r="C16" s="1154" t="s">
        <v>53</v>
      </c>
    </row>
    <row r="17" spans="1:3" ht="14.25">
      <c r="A17" s="3347"/>
      <c r="B17" s="3345"/>
      <c r="C17" s="1154" t="s">
        <v>55</v>
      </c>
    </row>
    <row r="18" spans="1:3" ht="14.25">
      <c r="A18" s="3347"/>
      <c r="B18" s="3345"/>
      <c r="C18" s="1154" t="s">
        <v>56</v>
      </c>
    </row>
    <row r="19" spans="1:3" ht="14.25">
      <c r="A19" s="3347"/>
      <c r="B19" s="3343" t="s">
        <v>57</v>
      </c>
      <c r="C19" s="3344"/>
    </row>
    <row r="20" spans="1:3" ht="14.25">
      <c r="A20" s="1155" t="s">
        <v>58</v>
      </c>
      <c r="B20" s="1156"/>
      <c r="C20" s="1157"/>
    </row>
    <row r="21" spans="1:3" ht="14.25">
      <c r="A21" s="3346" t="s">
        <v>59</v>
      </c>
      <c r="B21" s="3343" t="s">
        <v>60</v>
      </c>
      <c r="C21" s="3344"/>
    </row>
    <row r="22" spans="1:3" ht="14.25">
      <c r="A22" s="3346"/>
      <c r="B22" s="3343" t="s">
        <v>61</v>
      </c>
      <c r="C22" s="3344"/>
    </row>
    <row r="23" spans="1:3" ht="14.25">
      <c r="A23" s="3346"/>
      <c r="B23" s="3343" t="s">
        <v>62</v>
      </c>
      <c r="C23" s="3344"/>
    </row>
    <row r="24" spans="1:3" ht="14.25">
      <c r="A24" s="3346"/>
      <c r="B24" s="3349" t="s">
        <v>63</v>
      </c>
      <c r="C24" s="1158" t="s">
        <v>829</v>
      </c>
    </row>
    <row r="25" spans="1:3" ht="14.25">
      <c r="A25" s="3346"/>
      <c r="B25" s="3350"/>
      <c r="C25" s="1158" t="s">
        <v>830</v>
      </c>
    </row>
    <row r="26" spans="1:3" ht="14.25">
      <c r="A26" s="3346"/>
      <c r="B26" s="3350"/>
      <c r="C26" s="1158" t="s">
        <v>831</v>
      </c>
    </row>
    <row r="27" spans="1:3" ht="14.25">
      <c r="A27" s="3346"/>
      <c r="B27" s="3350"/>
      <c r="C27" s="1158" t="s">
        <v>832</v>
      </c>
    </row>
    <row r="28" spans="1:3" ht="14.25">
      <c r="A28" s="3346"/>
      <c r="B28" s="3350"/>
      <c r="C28" s="1158" t="s">
        <v>833</v>
      </c>
    </row>
    <row r="29" spans="1:3" ht="14.25">
      <c r="A29" s="3346"/>
      <c r="B29" s="3350"/>
      <c r="C29" s="1158" t="s">
        <v>834</v>
      </c>
    </row>
    <row r="30" spans="1:3" ht="14.25">
      <c r="A30" s="3346"/>
      <c r="B30" s="3350"/>
      <c r="C30" s="1158" t="s">
        <v>835</v>
      </c>
    </row>
    <row r="31" spans="1:3" ht="14.25">
      <c r="A31" s="3346"/>
      <c r="B31" s="3350"/>
      <c r="C31" s="1158" t="s">
        <v>836</v>
      </c>
    </row>
    <row r="32" spans="1:3" ht="14.25">
      <c r="A32" s="3346"/>
      <c r="B32" s="3350"/>
      <c r="C32" s="1158" t="s">
        <v>1637</v>
      </c>
    </row>
    <row r="33" spans="1:3" ht="14.25">
      <c r="A33" s="3346"/>
      <c r="B33" s="3340" t="s">
        <v>1643</v>
      </c>
      <c r="C33" s="1158" t="s">
        <v>1638</v>
      </c>
    </row>
    <row r="34" spans="1:3" ht="14.25">
      <c r="A34" s="3346"/>
      <c r="B34" s="3341"/>
      <c r="C34" s="1163" t="s">
        <v>1639</v>
      </c>
    </row>
    <row r="35" spans="1:3" ht="14.25">
      <c r="A35" s="3346"/>
      <c r="B35" s="3341"/>
      <c r="C35" s="1164" t="s">
        <v>1640</v>
      </c>
    </row>
    <row r="36" spans="1:3" ht="14.25">
      <c r="A36" s="3346"/>
      <c r="B36" s="3341"/>
      <c r="C36" s="1164" t="s">
        <v>1641</v>
      </c>
    </row>
    <row r="37" spans="1:3" ht="14.25">
      <c r="A37" s="3346"/>
      <c r="B37" s="3342"/>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1898</v>
      </c>
      <c r="B2" s="3025">
        <f ca="1">TODAY()</f>
        <v>44322</v>
      </c>
      <c r="C2" s="3026" t="s">
        <v>1899</v>
      </c>
      <c r="D2" s="3026"/>
      <c r="E2" s="3023"/>
      <c r="F2" s="3023"/>
      <c r="G2" s="3023"/>
    </row>
    <row r="3" spans="1:7" ht="20.25" customHeight="1">
      <c r="A3" s="3047" t="s">
        <v>1900</v>
      </c>
      <c r="B3" s="3028" t="s">
        <v>1901</v>
      </c>
      <c r="C3" s="3029" t="s">
        <v>1902</v>
      </c>
      <c r="D3" s="3048" t="s">
        <v>1903</v>
      </c>
      <c r="E3" s="3028" t="s">
        <v>1904</v>
      </c>
      <c r="F3" s="3028" t="s">
        <v>1902</v>
      </c>
      <c r="G3" s="3023"/>
    </row>
    <row r="4" spans="1:7" ht="20.25" customHeight="1">
      <c r="A4" s="3028" t="s">
        <v>1905</v>
      </c>
      <c r="B4" s="3028">
        <f ca="1">IF(C4&lt;B2,"已过期",1119970066)</f>
        <v>1119970066</v>
      </c>
      <c r="C4" s="3031">
        <v>44876</v>
      </c>
      <c r="D4" s="3039" t="s">
        <v>1905</v>
      </c>
      <c r="E4" s="3028">
        <f ca="1">IF(F4&lt;B2,"已过期",96010014)</f>
        <v>96010014</v>
      </c>
      <c r="F4" s="3030">
        <v>47118</v>
      </c>
      <c r="G4" s="3023"/>
    </row>
    <row r="5" spans="1:7" ht="20.25" customHeight="1">
      <c r="A5" s="3028" t="s">
        <v>1906</v>
      </c>
      <c r="B5" s="3028">
        <f ca="1">IF(C5&lt;B2,"已过期",1119970111)</f>
        <v>1119970111</v>
      </c>
      <c r="C5" s="3031">
        <v>44876</v>
      </c>
      <c r="D5" s="3039" t="s">
        <v>1906</v>
      </c>
      <c r="E5" s="3028">
        <f ca="1">IF(F5&lt;B2,"已过期",94010078)</f>
        <v>94010078</v>
      </c>
      <c r="F5" s="3030">
        <v>46387</v>
      </c>
      <c r="G5" s="3023"/>
    </row>
    <row r="6" spans="1:7" ht="20.25" customHeight="1">
      <c r="A6" s="3028" t="s">
        <v>1907</v>
      </c>
      <c r="B6" s="3028">
        <f ca="1">IF(C6&lt;B2,"已过期",1120050019)</f>
        <v>1120050019</v>
      </c>
      <c r="C6" s="3031">
        <v>44395</v>
      </c>
      <c r="D6" s="3039" t="s">
        <v>1907</v>
      </c>
      <c r="E6" s="3028">
        <f ca="1">IF(F6&lt;B2,"已过期",2002110030)</f>
        <v>2002110030</v>
      </c>
      <c r="F6" s="3030">
        <v>46387</v>
      </c>
      <c r="G6" s="3023"/>
    </row>
    <row r="7" spans="1:7" ht="20.25" customHeight="1">
      <c r="A7" s="3028" t="s">
        <v>1908</v>
      </c>
      <c r="B7" s="3028">
        <f ca="1">IF(C7&lt;B2,"已过期",1120000080)</f>
        <v>1120000080</v>
      </c>
      <c r="C7" s="3031">
        <v>44876</v>
      </c>
      <c r="D7" s="3039" t="s">
        <v>1908</v>
      </c>
      <c r="E7" s="3028">
        <f ca="1">IF(F7&lt;B2,"已过期",2000110082)</f>
        <v>2000110082</v>
      </c>
      <c r="F7" s="3030">
        <v>46387</v>
      </c>
      <c r="G7" s="3023"/>
    </row>
    <row r="8" spans="1:7" ht="20.25" customHeight="1">
      <c r="A8" s="3028" t="s">
        <v>1909</v>
      </c>
      <c r="B8" s="3028">
        <f ca="1">IF(C8&lt;B2,"已过期",1419970001)</f>
        <v>1419970001</v>
      </c>
      <c r="C8" s="3031">
        <v>44899</v>
      </c>
      <c r="D8" s="3039" t="s">
        <v>1909</v>
      </c>
      <c r="E8" s="3028">
        <f ca="1">IF(F8&lt;B2,"已过期",2002110125)</f>
        <v>2002110125</v>
      </c>
      <c r="F8" s="3030">
        <v>47118</v>
      </c>
      <c r="G8" s="3023"/>
    </row>
    <row r="9" spans="1:7" ht="20.25" customHeight="1">
      <c r="A9" s="3028" t="s">
        <v>1910</v>
      </c>
      <c r="B9" s="3028">
        <f ca="1">IF(C9&lt;B2,"已过期",1120060040)</f>
        <v>1120060040</v>
      </c>
      <c r="C9" s="3031">
        <v>44554</v>
      </c>
      <c r="D9" s="3039" t="s">
        <v>1910</v>
      </c>
      <c r="E9" s="3028">
        <f ca="1">IF(F9&lt;B2,"已过期",2004110096)</f>
        <v>2004110096</v>
      </c>
      <c r="F9" s="3030">
        <v>47118</v>
      </c>
      <c r="G9" s="3023"/>
    </row>
    <row r="10" spans="1:7" ht="20.25" customHeight="1">
      <c r="A10" s="3028" t="s">
        <v>1911</v>
      </c>
      <c r="B10" s="3028">
        <f ca="1">IF(C10&lt;B2,"已过期",1120100036)</f>
        <v>1120100036</v>
      </c>
      <c r="C10" s="3031">
        <v>44675</v>
      </c>
      <c r="D10" s="3039" t="s">
        <v>1911</v>
      </c>
      <c r="E10" s="3028">
        <f ca="1">IF(F10&lt;B2,"已过期",2010110070)</f>
        <v>2010110070</v>
      </c>
      <c r="F10" s="3030">
        <v>47907</v>
      </c>
      <c r="G10" s="3023"/>
    </row>
    <row r="11" spans="1:7" ht="20.25" customHeight="1">
      <c r="A11" s="3028" t="s">
        <v>1912</v>
      </c>
      <c r="B11" s="3028">
        <f ca="1">IF(C11&lt;B2,"已过期",1120070131)</f>
        <v>1120070131</v>
      </c>
      <c r="C11" s="3031">
        <v>44849</v>
      </c>
      <c r="D11" s="3039" t="s">
        <v>1912</v>
      </c>
      <c r="E11" s="3028">
        <f ca="1">IF(F11&lt;B2,"已过期",2014110011)</f>
        <v>2014110011</v>
      </c>
      <c r="F11" s="3030">
        <v>49302</v>
      </c>
      <c r="G11" s="3023"/>
    </row>
    <row r="12" spans="1:7" ht="20.25" customHeight="1">
      <c r="A12" s="3028" t="s">
        <v>2941</v>
      </c>
      <c r="B12" s="3028">
        <f ca="1">IF(C12&lt;B2,"已过期",1120040230)</f>
        <v>1120040230</v>
      </c>
      <c r="C12" s="3031">
        <v>44864</v>
      </c>
      <c r="D12" s="3039" t="s">
        <v>2942</v>
      </c>
      <c r="E12" s="3028">
        <f ca="1">IF(F12&lt;B2,"已过期",98030020)</f>
        <v>98030020</v>
      </c>
      <c r="F12" s="3030">
        <v>47118</v>
      </c>
      <c r="G12" s="3023"/>
    </row>
    <row r="13" spans="1:7" ht="20.25" customHeight="1">
      <c r="A13" s="3028"/>
      <c r="B13" s="3028"/>
      <c r="C13" s="3031"/>
      <c r="D13" s="3039" t="s">
        <v>1913</v>
      </c>
      <c r="E13" s="3028">
        <f ca="1">IF(F13&lt;B2,"已过期",2011110090)</f>
        <v>2011110090</v>
      </c>
      <c r="F13" s="3030">
        <v>48302</v>
      </c>
      <c r="G13" s="3023"/>
    </row>
    <row r="14" spans="1:7" ht="20.25" customHeight="1">
      <c r="A14" s="3028" t="s">
        <v>1914</v>
      </c>
      <c r="B14" s="3028">
        <f ca="1">IF(C14&lt;B2,"已过期",1120020033)</f>
        <v>1120020033</v>
      </c>
      <c r="C14" s="3031">
        <v>44339</v>
      </c>
      <c r="D14" s="3039" t="s">
        <v>1914</v>
      </c>
      <c r="E14" s="3028">
        <f ca="1">IF(F14&lt;B2,"已过期",2000110137)</f>
        <v>2000110137</v>
      </c>
      <c r="F14" s="3030">
        <v>46387</v>
      </c>
      <c r="G14" s="3023"/>
    </row>
    <row r="15" spans="1:7" ht="20.25" customHeight="1">
      <c r="A15" s="3028" t="s">
        <v>2956</v>
      </c>
      <c r="B15" s="3028">
        <f ca="1">IF(C14&lt;B2,"已过期",1119980106)</f>
        <v>1119980106</v>
      </c>
      <c r="C15" s="3031">
        <v>44969</v>
      </c>
      <c r="D15" s="3039"/>
      <c r="E15" s="3028"/>
      <c r="F15" s="3028"/>
      <c r="G15" s="3023"/>
    </row>
    <row r="16" spans="1:7" s="2829" customFormat="1" ht="20.25" customHeight="1">
      <c r="A16" s="3027" t="s">
        <v>2042</v>
      </c>
      <c r="B16" s="3027" t="s">
        <v>2042</v>
      </c>
      <c r="C16" s="3031"/>
      <c r="D16" s="3040" t="s">
        <v>2042</v>
      </c>
      <c r="E16" s="3028" t="s">
        <v>2042</v>
      </c>
      <c r="F16" s="3030"/>
      <c r="G16" s="3032"/>
    </row>
    <row r="17" spans="1:7" ht="20.25" customHeight="1">
      <c r="A17" s="3354" t="s">
        <v>1915</v>
      </c>
      <c r="B17" s="3355"/>
      <c r="C17" s="3355"/>
      <c r="D17" s="3355"/>
      <c r="E17" s="3355"/>
      <c r="F17" s="3355"/>
      <c r="G17" s="3032"/>
    </row>
    <row r="18" spans="1:7" ht="20.25" customHeight="1">
      <c r="A18" s="3351" t="s">
        <v>1916</v>
      </c>
      <c r="B18" s="3351"/>
      <c r="C18" s="3352"/>
      <c r="D18" s="3353" t="s">
        <v>1917</v>
      </c>
      <c r="E18" s="3351"/>
      <c r="F18" s="3351"/>
      <c r="G18" s="3032"/>
    </row>
    <row r="19" spans="1:7" s="2827" customFormat="1" ht="20.25" customHeight="1">
      <c r="A19" s="3033" t="s">
        <v>1918</v>
      </c>
      <c r="B19" s="3034" t="s">
        <v>1919</v>
      </c>
      <c r="C19" s="3041" t="s">
        <v>1920</v>
      </c>
      <c r="D19" s="3039" t="s">
        <v>1918</v>
      </c>
      <c r="E19" s="3034" t="s">
        <v>1919</v>
      </c>
      <c r="F19" s="3034" t="s">
        <v>1920</v>
      </c>
      <c r="G19" s="3024"/>
    </row>
    <row r="20" spans="1:7" s="2827" customFormat="1" ht="20.25" customHeight="1">
      <c r="A20" s="3035" t="s">
        <v>1921</v>
      </c>
      <c r="B20" s="3035" t="s">
        <v>1922</v>
      </c>
      <c r="C20" s="3042">
        <v>44820</v>
      </c>
      <c r="D20" s="3044" t="s">
        <v>1923</v>
      </c>
      <c r="E20" s="3035" t="s">
        <v>1924</v>
      </c>
      <c r="F20" s="3036">
        <v>44377</v>
      </c>
      <c r="G20" s="3024"/>
    </row>
    <row r="21" spans="1:7" s="2827" customFormat="1" ht="20.25" customHeight="1">
      <c r="A21" s="3035"/>
      <c r="B21" s="3035"/>
      <c r="C21" s="3043"/>
      <c r="D21" s="3044" t="s">
        <v>1925</v>
      </c>
      <c r="E21" s="3035" t="s">
        <v>2955</v>
      </c>
      <c r="F21" s="3036">
        <v>44012</v>
      </c>
      <c r="G21" s="3024"/>
    </row>
    <row r="22" spans="1:7" ht="20.25" customHeight="1">
      <c r="A22" s="3023"/>
      <c r="B22" s="3023"/>
      <c r="C22" s="3037"/>
      <c r="D22" s="3045"/>
      <c r="E22" s="3046"/>
      <c r="F22" s="3038" t="s">
        <v>2969</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0" t="s">
        <v>2917</v>
      </c>
      <c r="C18" s="1492"/>
    </row>
    <row r="19" spans="1:3">
      <c r="A19" s="8" t="s">
        <v>120</v>
      </c>
      <c r="B19" s="2790" t="s">
        <v>2924</v>
      </c>
      <c r="C19" s="1492"/>
    </row>
    <row r="20" spans="1:3">
      <c r="A20" s="8" t="s">
        <v>121</v>
      </c>
      <c r="B20" s="2790" t="s">
        <v>2970</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56"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29日，在规划利用条件下、设定土地开发程度为红线外“七通”、宗地内场地，设定用途为，剩余土地使用年限为的出让国有建设用地使用权价格。</v>
      </c>
      <c r="D53" s="1685"/>
      <c r="E53" s="1685"/>
    </row>
    <row r="54" spans="1:5">
      <c r="A54" s="3356"/>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56"/>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56"/>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56"/>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2021-05-06T03:01:30Z</dcterms:modified>
</cp:coreProperties>
</file>