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2025\2025-1-0890北京市平谷区兴谷街道平旺街62号院1号楼1至3层101、2号楼1至3层101两幢工业用房房地产\"/>
    </mc:Choice>
  </mc:AlternateContent>
  <xr:revisionPtr revIDLastSave="0" documentId="13_ncr:1_{37CC0D62-6DB1-4C04-9985-4EB711E1BD06}" xr6:coauthVersionLast="47" xr6:coauthVersionMax="47" xr10:uidLastSave="{00000000-0000-0000-0000-000000000000}"/>
  <bookViews>
    <workbookView xWindow="-120" yWindow="-120" windowWidth="21840" windowHeight="13140"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0" r:id="rId12"/>
    <sheet name="租约" sheetId="81"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5">'[2]数据-汇总表'!$C$17:$C$26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T3" i="81"/>
  <c r="S3" i="81"/>
  <c r="R3" i="81"/>
  <c r="Q3" i="81"/>
  <c r="P3" i="81"/>
  <c r="P11" i="81" s="1"/>
  <c r="O3" i="81"/>
  <c r="O11" i="81" s="1"/>
  <c r="F49" i="15"/>
  <c r="F19" i="6"/>
  <c r="F11" i="81"/>
  <c r="T8" i="81"/>
  <c r="R10" i="81"/>
  <c r="S10" i="81"/>
  <c r="T10" i="81"/>
  <c r="Q10" i="81"/>
  <c r="S9" i="81"/>
  <c r="T9" i="81"/>
  <c r="R9" i="81"/>
  <c r="P14" i="81"/>
  <c r="P19" i="81" s="1"/>
  <c r="S11" i="81" l="1"/>
  <c r="T11" i="81"/>
  <c r="R11" i="81"/>
  <c r="Q11" i="81"/>
  <c r="P15" i="81" s="1"/>
  <c r="Q9" i="81" l="1"/>
  <c r="Q8" i="81"/>
  <c r="R8" i="81"/>
  <c r="S8" i="81"/>
  <c r="Q7" i="81"/>
  <c r="R7" i="81"/>
  <c r="S7" i="81"/>
  <c r="T7" i="81"/>
  <c r="P10" i="81"/>
  <c r="P9" i="81"/>
  <c r="P8" i="81"/>
  <c r="P7" i="81"/>
  <c r="O10" i="81"/>
  <c r="O9" i="81"/>
  <c r="O8" i="81"/>
  <c r="O7" i="81"/>
  <c r="M10" i="81"/>
  <c r="M9" i="81"/>
  <c r="M8" i="81"/>
  <c r="M7" i="81"/>
  <c r="M3" i="81"/>
  <c r="M4" i="81"/>
  <c r="M5" i="81"/>
  <c r="M6" i="81"/>
  <c r="O5" i="81"/>
  <c r="N2" i="81"/>
  <c r="A25" i="31"/>
  <c r="A24" i="31"/>
  <c r="T2" i="80"/>
  <c r="T20" i="80" s="1"/>
  <c r="O4" i="81" l="1"/>
  <c r="O6" i="81"/>
  <c r="T11" i="80"/>
  <c r="T19" i="80"/>
  <c r="G84" i="43"/>
  <c r="G85" i="43"/>
  <c r="G86" i="43"/>
  <c r="G87" i="43"/>
  <c r="G88" i="43"/>
  <c r="G89" i="43"/>
  <c r="G90" i="43"/>
  <c r="G83" i="43"/>
  <c r="Y6" i="1" l="1"/>
  <c r="N6" i="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9" i="79"/>
  <c r="AR20" i="79" s="1"/>
  <c r="AR21" i="79" s="1"/>
  <c r="AR22" i="79" s="1"/>
  <c r="AR23" i="79" s="1"/>
  <c r="AR24"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1" i="79" l="1"/>
  <c r="AK41" i="79" s="1"/>
  <c r="AH41"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50" i="79"/>
  <c r="AK50" i="79" s="1"/>
  <c r="AH50" i="79"/>
  <c r="W23" i="79"/>
  <c r="AK23" i="79" s="1"/>
  <c r="AH23" i="79"/>
  <c r="W12" i="79"/>
  <c r="AK12" i="79" s="1"/>
  <c r="AH12" i="79"/>
  <c r="W21" i="79"/>
  <c r="AK21" i="79" s="1"/>
  <c r="AH21" i="79"/>
  <c r="W47" i="79"/>
  <c r="AK47" i="79" s="1"/>
  <c r="AH47" i="79"/>
  <c r="W45" i="79"/>
  <c r="AK45" i="79" s="1"/>
  <c r="AH45" i="79"/>
  <c r="W14" i="79"/>
  <c r="AK14" i="79" s="1"/>
  <c r="AH14" i="79"/>
  <c r="W16" i="79"/>
  <c r="AK16" i="79" s="1"/>
  <c r="AH16" i="79"/>
  <c r="W35" i="79"/>
  <c r="AK35" i="79" s="1"/>
  <c r="AH35" i="79"/>
  <c r="W40" i="79"/>
  <c r="AK40" i="79" s="1"/>
  <c r="AH40"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18" i="36"/>
  <c r="S21" i="34"/>
  <c r="H25" i="40"/>
  <c r="AB25" i="40" s="1"/>
  <c r="J25" i="40"/>
  <c r="H29" i="39"/>
  <c r="J29" i="39"/>
  <c r="J18" i="36"/>
  <c r="AC18" i="36" s="1"/>
  <c r="H18" i="35"/>
  <c r="AB18" i="35" s="1"/>
  <c r="G68" i="35"/>
  <c r="J18" i="35"/>
  <c r="H21" i="37"/>
  <c r="F21" i="37"/>
  <c r="F84" i="34"/>
  <c r="G84" i="34" s="1"/>
  <c r="H21" i="34"/>
  <c r="AB21" i="34" s="1"/>
  <c r="H21" i="33"/>
  <c r="U21" i="33" s="1"/>
  <c r="F21" i="33"/>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M88" i="43"/>
  <c r="N88" i="43" s="1"/>
  <c r="K88" i="43"/>
  <c r="D88" i="43" s="1"/>
  <c r="M87" i="43"/>
  <c r="N87" i="43" s="1"/>
  <c r="K87" i="43"/>
  <c r="M86" i="43"/>
  <c r="N86" i="43" s="1"/>
  <c r="K86" i="43"/>
  <c r="D86" i="43" s="1"/>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S28" i="31" s="1"/>
  <c r="R29" i="31"/>
  <c r="S29" i="31" s="1"/>
  <c r="R30" i="31"/>
  <c r="R31" i="31"/>
  <c r="R32" i="31"/>
  <c r="S32" i="31" s="1"/>
  <c r="R33" i="31"/>
  <c r="S33" i="31" s="1"/>
  <c r="R34" i="31"/>
  <c r="R35" i="31"/>
  <c r="R36" i="31"/>
  <c r="S36" i="31" s="1"/>
  <c r="R37" i="31"/>
  <c r="R38" i="31"/>
  <c r="R39" i="31"/>
  <c r="S39" i="31" s="1"/>
  <c r="R40" i="31"/>
  <c r="S40" i="31" s="1"/>
  <c r="R41" i="31"/>
  <c r="R42" i="31"/>
  <c r="R43" i="31"/>
  <c r="S43" i="31" s="1"/>
  <c r="R44" i="31"/>
  <c r="S44" i="31" s="1"/>
  <c r="R45" i="31"/>
  <c r="S45" i="31" s="1"/>
  <c r="R46" i="31"/>
  <c r="S46" i="31" s="1"/>
  <c r="R47" i="31"/>
  <c r="S47" i="31" s="1"/>
  <c r="R48" i="31"/>
  <c r="S48" i="31" s="1"/>
  <c r="R49" i="31"/>
  <c r="S49" i="31" s="1"/>
  <c r="R50" i="31"/>
  <c r="R51" i="31"/>
  <c r="S51" i="31" s="1"/>
  <c r="R52" i="31"/>
  <c r="S52" i="31" s="1"/>
  <c r="R53" i="31"/>
  <c r="R54" i="31"/>
  <c r="S54" i="31" s="1"/>
  <c r="R55" i="31"/>
  <c r="S55" i="31" s="1"/>
  <c r="R56" i="31"/>
  <c r="S56" i="31" s="1"/>
  <c r="R57" i="31"/>
  <c r="S57" i="31" s="1"/>
  <c r="R58" i="31"/>
  <c r="S58" i="31" s="1"/>
  <c r="R59" i="31"/>
  <c r="S59" i="31" s="1"/>
  <c r="R60" i="31"/>
  <c r="S60" i="31" s="1"/>
  <c r="R61" i="31"/>
  <c r="R62" i="31"/>
  <c r="R63" i="31"/>
  <c r="S63" i="31" s="1"/>
  <c r="R64" i="31"/>
  <c r="S64" i="31" s="1"/>
  <c r="R65" i="31"/>
  <c r="R66" i="31"/>
  <c r="S66" i="31" s="1"/>
  <c r="R67" i="31"/>
  <c r="S67" i="31" s="1"/>
  <c r="R68" i="31"/>
  <c r="S68" i="31" s="1"/>
  <c r="R69" i="31"/>
  <c r="S69" i="31" s="1"/>
  <c r="R70" i="31"/>
  <c r="R71" i="31"/>
  <c r="S71" i="31" s="1"/>
  <c r="R72" i="31"/>
  <c r="S72" i="31" s="1"/>
  <c r="R73" i="31"/>
  <c r="S73" i="31" s="1"/>
  <c r="R74" i="31"/>
  <c r="R75" i="31"/>
  <c r="S75" i="31" s="1"/>
  <c r="R76" i="31"/>
  <c r="S76" i="31" s="1"/>
  <c r="R77" i="31"/>
  <c r="R78" i="31"/>
  <c r="R79" i="31"/>
  <c r="S79" i="31" s="1"/>
  <c r="R80" i="31"/>
  <c r="S80" i="31" s="1"/>
  <c r="R81" i="31"/>
  <c r="S81" i="31" s="1"/>
  <c r="R82" i="31"/>
  <c r="R83" i="31"/>
  <c r="R84" i="31"/>
  <c r="S84" i="31" s="1"/>
  <c r="R85" i="31"/>
  <c r="S85" i="31" s="1"/>
  <c r="R86" i="31"/>
  <c r="S86" i="31" s="1"/>
  <c r="R87" i="31"/>
  <c r="S87" i="31" s="1"/>
  <c r="R88" i="31"/>
  <c r="S88" i="31" s="1"/>
  <c r="R89" i="31"/>
  <c r="R90" i="31"/>
  <c r="R91" i="31"/>
  <c r="S91" i="31" s="1"/>
  <c r="R92" i="31"/>
  <c r="S92" i="31" s="1"/>
  <c r="R93" i="31"/>
  <c r="R94" i="31"/>
  <c r="R95" i="31"/>
  <c r="S95" i="31" s="1"/>
  <c r="R96" i="31"/>
  <c r="S96" i="31" s="1"/>
  <c r="R97" i="31"/>
  <c r="S97" i="31" s="1"/>
  <c r="R98" i="31"/>
  <c r="R99" i="31"/>
  <c r="S99" i="31" s="1"/>
  <c r="R100" i="31"/>
  <c r="S100" i="31" s="1"/>
  <c r="R101" i="31"/>
  <c r="S101" i="31" s="1"/>
  <c r="R102" i="31"/>
  <c r="S102" i="31" s="1"/>
  <c r="R103" i="31"/>
  <c r="S103" i="31" s="1"/>
  <c r="R104" i="31"/>
  <c r="S104" i="31" s="1"/>
  <c r="R105" i="31"/>
  <c r="R106" i="31"/>
  <c r="R107" i="31"/>
  <c r="S107" i="31" s="1"/>
  <c r="R108" i="31"/>
  <c r="S108" i="31" s="1"/>
  <c r="R109" i="31"/>
  <c r="R110" i="31"/>
  <c r="R111" i="31"/>
  <c r="R112" i="31"/>
  <c r="S112" i="31" s="1"/>
  <c r="R113" i="31"/>
  <c r="R114" i="31"/>
  <c r="R115" i="31"/>
  <c r="S115" i="31" s="1"/>
  <c r="R116" i="31"/>
  <c r="S116" i="31" s="1"/>
  <c r="R117" i="31"/>
  <c r="S117" i="31" s="1"/>
  <c r="R118" i="31"/>
  <c r="R119" i="31"/>
  <c r="R120" i="31"/>
  <c r="S120" i="31" s="1"/>
  <c r="R121" i="31"/>
  <c r="S121" i="31" s="1"/>
  <c r="R122" i="31"/>
  <c r="R123" i="31"/>
  <c r="S123" i="31" s="1"/>
  <c r="R124" i="31"/>
  <c r="S124" i="31" s="1"/>
  <c r="R125" i="31"/>
  <c r="R126" i="31"/>
  <c r="R127" i="31"/>
  <c r="S127" i="31" s="1"/>
  <c r="R128" i="31"/>
  <c r="S128" i="31" s="1"/>
  <c r="R129" i="31"/>
  <c r="R130" i="31"/>
  <c r="R131" i="31"/>
  <c r="R132" i="31"/>
  <c r="S132" i="31" s="1"/>
  <c r="R133" i="31"/>
  <c r="R134" i="31"/>
  <c r="S134" i="31" s="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R152" i="31"/>
  <c r="S152" i="31" s="1"/>
  <c r="R153" i="31"/>
  <c r="R154" i="31"/>
  <c r="R155" i="31"/>
  <c r="S155" i="31" s="1"/>
  <c r="R156" i="31"/>
  <c r="S156" i="31" s="1"/>
  <c r="R157" i="31"/>
  <c r="R158" i="31"/>
  <c r="R159" i="31"/>
  <c r="S159" i="31" s="1"/>
  <c r="R160" i="31"/>
  <c r="S160" i="31" s="1"/>
  <c r="R161" i="31"/>
  <c r="R162" i="31"/>
  <c r="R163" i="31"/>
  <c r="R164" i="31"/>
  <c r="S164" i="31" s="1"/>
  <c r="R165" i="31"/>
  <c r="R166" i="31"/>
  <c r="S166" i="31" s="1"/>
  <c r="R167" i="31"/>
  <c r="S167" i="31" s="1"/>
  <c r="R168" i="31"/>
  <c r="S168" i="31" s="1"/>
  <c r="R169" i="31"/>
  <c r="R170" i="31"/>
  <c r="R171" i="31"/>
  <c r="S171" i="31" s="1"/>
  <c r="R172" i="31"/>
  <c r="S172" i="31" s="1"/>
  <c r="R173" i="31"/>
  <c r="R174" i="31"/>
  <c r="R175" i="31"/>
  <c r="S175" i="31" s="1"/>
  <c r="R176" i="31"/>
  <c r="S176" i="31" s="1"/>
  <c r="R177" i="31"/>
  <c r="R178" i="31"/>
  <c r="R179" i="31"/>
  <c r="R180" i="31"/>
  <c r="S180" i="31" s="1"/>
  <c r="R181" i="31"/>
  <c r="R182" i="31"/>
  <c r="R183" i="3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S198" i="31" s="1"/>
  <c r="R199" i="31"/>
  <c r="R200" i="31"/>
  <c r="S200" i="31" s="1"/>
  <c r="R201" i="31"/>
  <c r="R202" i="31"/>
  <c r="R203" i="31"/>
  <c r="S203" i="31" s="1"/>
  <c r="R204" i="31"/>
  <c r="S204" i="31" s="1"/>
  <c r="R205" i="31"/>
  <c r="R206" i="31"/>
  <c r="R207" i="31"/>
  <c r="S207" i="31" s="1"/>
  <c r="R208" i="31"/>
  <c r="S208" i="31" s="1"/>
  <c r="R209" i="31"/>
  <c r="R210" i="31"/>
  <c r="R211" i="31"/>
  <c r="R212" i="31"/>
  <c r="S212" i="31" s="1"/>
  <c r="R213" i="31"/>
  <c r="R214" i="31"/>
  <c r="S214" i="31" s="1"/>
  <c r="R215" i="31"/>
  <c r="S215" i="31" s="1"/>
  <c r="R216" i="31"/>
  <c r="S216" i="31" s="1"/>
  <c r="R217" i="31"/>
  <c r="R218" i="31"/>
  <c r="R219" i="31"/>
  <c r="S219" i="31" s="1"/>
  <c r="R220" i="31"/>
  <c r="S220" i="31" s="1"/>
  <c r="R221" i="31"/>
  <c r="R222" i="31"/>
  <c r="R223" i="31"/>
  <c r="S223" i="31" s="1"/>
  <c r="R224" i="31"/>
  <c r="S224" i="31" s="1"/>
  <c r="R225" i="31"/>
  <c r="R226" i="31"/>
  <c r="R227" i="31"/>
  <c r="S227" i="31" s="1"/>
  <c r="R228" i="31"/>
  <c r="S228" i="31" s="1"/>
  <c r="R229" i="31"/>
  <c r="S229" i="31" s="1"/>
  <c r="R230" i="31"/>
  <c r="R231" i="31"/>
  <c r="S231" i="31" s="1"/>
  <c r="R232" i="31"/>
  <c r="S232" i="31" s="1"/>
  <c r="R233" i="31"/>
  <c r="S233" i="31" s="1"/>
  <c r="R234" i="31"/>
  <c r="S234" i="31" s="1"/>
  <c r="R235" i="31"/>
  <c r="R236" i="31"/>
  <c r="S236" i="31" s="1"/>
  <c r="R237" i="31"/>
  <c r="R238" i="31"/>
  <c r="R239" i="31"/>
  <c r="S239" i="31" s="1"/>
  <c r="R240" i="31"/>
  <c r="S240" i="31" s="1"/>
  <c r="R241" i="31"/>
  <c r="R242" i="31"/>
  <c r="R243" i="31"/>
  <c r="S243" i="31" s="1"/>
  <c r="R244" i="31"/>
  <c r="S244" i="31" s="1"/>
  <c r="R245" i="31"/>
  <c r="S245" i="31" s="1"/>
  <c r="R246" i="31"/>
  <c r="S246" i="31" s="1"/>
  <c r="R247" i="3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R438" i="31"/>
  <c r="S438" i="31" s="1"/>
  <c r="R439" i="31"/>
  <c r="S439" i="31" s="1"/>
  <c r="R440" i="31"/>
  <c r="S440" i="31" s="1"/>
  <c r="R441" i="31"/>
  <c r="R442" i="31"/>
  <c r="S442" i="31" s="1"/>
  <c r="R443" i="31"/>
  <c r="R444" i="31"/>
  <c r="S444" i="31" s="1"/>
  <c r="R445" i="31"/>
  <c r="S445" i="31" s="1"/>
  <c r="R446" i="31"/>
  <c r="S446" i="31" s="1"/>
  <c r="R447" i="31"/>
  <c r="S447" i="31" s="1"/>
  <c r="R448" i="31"/>
  <c r="S448" i="31" s="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R510" i="31"/>
  <c r="S510" i="31" s="1"/>
  <c r="R511" i="3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5" i="3" s="1"/>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G5" i="3" s="1"/>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0" i="31"/>
  <c r="S374" i="31"/>
  <c r="S362" i="31"/>
  <c r="S354" i="31"/>
  <c r="S346" i="31"/>
  <c r="S338" i="31"/>
  <c r="S330" i="31"/>
  <c r="S322" i="31"/>
  <c r="S314" i="31"/>
  <c r="S306" i="31"/>
  <c r="S298" i="31"/>
  <c r="S290" i="31"/>
  <c r="S282" i="31"/>
  <c r="S274" i="31"/>
  <c r="S266" i="31"/>
  <c r="S258" i="31"/>
  <c r="S253" i="31"/>
  <c r="S247" i="31"/>
  <c r="S242" i="31"/>
  <c r="S241" i="31"/>
  <c r="S238" i="31"/>
  <c r="S237" i="31"/>
  <c r="S235" i="31"/>
  <c r="S230" i="31"/>
  <c r="S226" i="31"/>
  <c r="S225" i="31"/>
  <c r="S222" i="31"/>
  <c r="S221" i="31"/>
  <c r="S218" i="31"/>
  <c r="S217" i="31"/>
  <c r="S213" i="31"/>
  <c r="S211" i="31"/>
  <c r="S210" i="31"/>
  <c r="S209" i="31"/>
  <c r="S206" i="31"/>
  <c r="S205" i="31"/>
  <c r="S202" i="31"/>
  <c r="S201" i="31"/>
  <c r="S199" i="31"/>
  <c r="S197" i="31"/>
  <c r="S194" i="31"/>
  <c r="S193" i="31"/>
  <c r="S190" i="31"/>
  <c r="S189" i="31"/>
  <c r="S186" i="31"/>
  <c r="S185" i="31"/>
  <c r="S183" i="31"/>
  <c r="S182" i="31"/>
  <c r="S181" i="31"/>
  <c r="S179" i="31"/>
  <c r="S178" i="31"/>
  <c r="S177" i="31"/>
  <c r="S174" i="31"/>
  <c r="S173" i="31"/>
  <c r="S170" i="31"/>
  <c r="S169" i="31"/>
  <c r="S165" i="31"/>
  <c r="S163" i="31"/>
  <c r="S162" i="31"/>
  <c r="S161" i="31"/>
  <c r="S158" i="31"/>
  <c r="S157" i="31"/>
  <c r="S154" i="31"/>
  <c r="S153" i="31"/>
  <c r="S151" i="31"/>
  <c r="S150" i="31"/>
  <c r="S149" i="31"/>
  <c r="S146" i="31"/>
  <c r="S145" i="31"/>
  <c r="S142" i="31"/>
  <c r="S141" i="31"/>
  <c r="S138" i="31"/>
  <c r="S137" i="31"/>
  <c r="S133" i="31"/>
  <c r="S131" i="31"/>
  <c r="S130" i="31"/>
  <c r="S129" i="31"/>
  <c r="S126" i="31"/>
  <c r="S125" i="31"/>
  <c r="S497" i="31"/>
  <c r="S485" i="31"/>
  <c r="S483" i="31"/>
  <c r="S481" i="31"/>
  <c r="S469" i="31"/>
  <c r="S443" i="31"/>
  <c r="S441" i="31"/>
  <c r="S437" i="31"/>
  <c r="S122" i="31"/>
  <c r="S119" i="31"/>
  <c r="S118" i="31"/>
  <c r="S114" i="31"/>
  <c r="S113" i="31"/>
  <c r="S466" i="31"/>
  <c r="S450" i="31"/>
  <c r="S53" i="31"/>
  <c r="S50" i="31"/>
  <c r="S42" i="31"/>
  <c r="S41" i="31"/>
  <c r="S38" i="31"/>
  <c r="S37" i="31"/>
  <c r="S35" i="31"/>
  <c r="S34" i="31"/>
  <c r="S77" i="31"/>
  <c r="S74" i="31"/>
  <c r="S70" i="31"/>
  <c r="S65" i="31"/>
  <c r="S62" i="31"/>
  <c r="S61" i="31"/>
  <c r="S94" i="31"/>
  <c r="S93" i="31"/>
  <c r="S90" i="31"/>
  <c r="S89" i="31"/>
  <c r="S83" i="31"/>
  <c r="S82" i="31"/>
  <c r="S78" i="31"/>
  <c r="S31" i="31"/>
  <c r="S30" i="31"/>
  <c r="S98" i="31"/>
  <c r="S105" i="31"/>
  <c r="S106" i="31"/>
  <c r="S109" i="31"/>
  <c r="S110" i="31"/>
  <c r="S111"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9"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F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B73" i="36"/>
  <c r="J24" i="36"/>
  <c r="AC24" i="36" s="1"/>
  <c r="B71" i="36"/>
  <c r="D70" i="36"/>
  <c r="H22" i="36"/>
  <c r="AB22" i="36" s="1"/>
  <c r="D68" i="36"/>
  <c r="E68" i="36" s="1"/>
  <c r="F68" i="36"/>
  <c r="G68" i="36" s="1"/>
  <c r="D64" i="36"/>
  <c r="E64" i="36" s="1"/>
  <c r="F64" i="36"/>
  <c r="G64" i="36"/>
  <c r="J16" i="36"/>
  <c r="W16" i="36" s="1"/>
  <c r="D62" i="36"/>
  <c r="E62" i="36"/>
  <c r="F62" i="36"/>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J35" i="35" s="1"/>
  <c r="AC35" i="35" s="1"/>
  <c r="B97" i="35"/>
  <c r="H34" i="35" s="1"/>
  <c r="B77" i="35"/>
  <c r="B75" i="35"/>
  <c r="J24" i="35" s="1"/>
  <c r="AC24" i="35"/>
  <c r="B73" i="35"/>
  <c r="B57" i="35"/>
  <c r="H11" i="35" s="1"/>
  <c r="AB11" i="35" s="1"/>
  <c r="B61" i="35"/>
  <c r="B59" i="35"/>
  <c r="F12" i="35" s="1"/>
  <c r="B131" i="34"/>
  <c r="B129" i="34"/>
  <c r="H46" i="34" s="1"/>
  <c r="B127" i="34"/>
  <c r="B99" i="34"/>
  <c r="B97" i="34"/>
  <c r="B95" i="34"/>
  <c r="J30" i="34" s="1"/>
  <c r="B93" i="34"/>
  <c r="B75" i="34"/>
  <c r="H14" i="34" s="1"/>
  <c r="B73" i="34"/>
  <c r="B71" i="34"/>
  <c r="B130" i="33"/>
  <c r="B128" i="33"/>
  <c r="H45" i="33" s="1"/>
  <c r="B126" i="33"/>
  <c r="B98" i="33"/>
  <c r="J31" i="33" s="1"/>
  <c r="B96" i="33"/>
  <c r="B94" i="33"/>
  <c r="J29" i="33" s="1"/>
  <c r="B74" i="33"/>
  <c r="B72" i="33"/>
  <c r="J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F46" i="21" s="1"/>
  <c r="B128" i="21"/>
  <c r="J45" i="21" s="1"/>
  <c r="W45" i="21" s="1"/>
  <c r="B126" i="21"/>
  <c r="F44" i="21" s="1"/>
  <c r="AA44" i="21" s="1"/>
  <c r="B98" i="21"/>
  <c r="H31" i="21"/>
  <c r="B96" i="21"/>
  <c r="B94" i="21"/>
  <c r="B92" i="21"/>
  <c r="B90" i="21"/>
  <c r="J27" i="21" s="1"/>
  <c r="W27" i="21" s="1"/>
  <c r="B74" i="21"/>
  <c r="B72"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5" i="39"/>
  <c r="W45" i="39" s="1"/>
  <c r="J44" i="39"/>
  <c r="AC44" i="39" s="1"/>
  <c r="F36" i="39"/>
  <c r="S36" i="39" s="1"/>
  <c r="H36" i="39"/>
  <c r="AB36" i="39"/>
  <c r="J35" i="39"/>
  <c r="AC35" i="39" s="1"/>
  <c r="F35" i="39"/>
  <c r="S35" i="39" s="1"/>
  <c r="AA35" i="39"/>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U34" i="34"/>
  <c r="H39" i="33"/>
  <c r="AB39" i="33"/>
  <c r="F26" i="33"/>
  <c r="AA26" i="33" s="1"/>
  <c r="U33" i="33"/>
  <c r="U35" i="33"/>
  <c r="S40" i="33"/>
  <c r="W39" i="33"/>
  <c r="H39" i="37"/>
  <c r="AB39" i="37"/>
  <c r="F11" i="40"/>
  <c r="AA11" i="40" s="1"/>
  <c r="H11" i="40"/>
  <c r="AB11" i="40" s="1"/>
  <c r="W8" i="40"/>
  <c r="AA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H46" i="21"/>
  <c r="U46" i="21" s="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H27" i="21"/>
  <c r="AB27" i="21"/>
  <c r="F27" i="21"/>
  <c r="AA27" i="21" s="1"/>
  <c r="J31" i="21"/>
  <c r="AC31" i="21" s="1"/>
  <c r="F31" i="21"/>
  <c r="S31" i="21" s="1"/>
  <c r="F45" i="21"/>
  <c r="AA45" i="21" s="1"/>
  <c r="F27" i="33"/>
  <c r="AA27" i="33" s="1"/>
  <c r="H13" i="33"/>
  <c r="U13" i="33" s="1"/>
  <c r="F13" i="33"/>
  <c r="S13" i="33" s="1"/>
  <c r="H29" i="33"/>
  <c r="U29" i="33"/>
  <c r="F29" i="33"/>
  <c r="S29" i="33" s="1"/>
  <c r="W31" i="33"/>
  <c r="H31" i="33"/>
  <c r="F31" i="33"/>
  <c r="U45" i="33"/>
  <c r="J45" i="33"/>
  <c r="W45" i="33" s="1"/>
  <c r="F45" i="33"/>
  <c r="J14" i="34"/>
  <c r="W14" i="34" s="1"/>
  <c r="F14" i="34"/>
  <c r="S14" i="34" s="1"/>
  <c r="H30" i="34"/>
  <c r="F30" i="34"/>
  <c r="S30" i="34"/>
  <c r="H32" i="34"/>
  <c r="F32" i="34"/>
  <c r="J32" i="34"/>
  <c r="W32" i="34" s="1"/>
  <c r="U46" i="34"/>
  <c r="F46" i="34"/>
  <c r="J46" i="34"/>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H14" i="33"/>
  <c r="U14" i="33" s="1"/>
  <c r="F14" i="33"/>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F35" i="35"/>
  <c r="AA35" i="35"/>
  <c r="H35" i="35"/>
  <c r="W25" i="36"/>
  <c r="F25" i="36"/>
  <c r="S25" i="36" s="1"/>
  <c r="H25" i="36"/>
  <c r="AB25" i="36" s="1"/>
  <c r="H13" i="37"/>
  <c r="AB13" i="37" s="1"/>
  <c r="F13" i="37"/>
  <c r="S13" i="37" s="1"/>
  <c r="F28" i="37"/>
  <c r="AA28" i="37" s="1"/>
  <c r="J28" i="37"/>
  <c r="AC28" i="37" s="1"/>
  <c r="H38" i="37"/>
  <c r="AB38" i="37"/>
  <c r="J38" i="37"/>
  <c r="AC38" i="37" s="1"/>
  <c r="S38" i="37"/>
  <c r="F43" i="39"/>
  <c r="AA43" i="39" s="1"/>
  <c r="H43" i="39"/>
  <c r="F14" i="39"/>
  <c r="H14" i="39"/>
  <c r="AB14" i="39" s="1"/>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c r="J10" i="36"/>
  <c r="AC10" i="36" s="1"/>
  <c r="AB30" i="21"/>
  <c r="AA14" i="37"/>
  <c r="AB46" i="34"/>
  <c r="AB45" i="33"/>
  <c r="AC28" i="21"/>
  <c r="S44" i="34"/>
  <c r="BA585" i="3"/>
  <c r="F17" i="21"/>
  <c r="AA17" i="21" s="1"/>
  <c r="H17" i="21"/>
  <c r="AB17" i="21" s="1"/>
  <c r="F15" i="21"/>
  <c r="S15" i="21" s="1"/>
  <c r="J41" i="39"/>
  <c r="W41" i="39" s="1"/>
  <c r="W44" i="39"/>
  <c r="U36" i="39"/>
  <c r="G544" i="3"/>
  <c r="G540" i="3"/>
  <c r="G536" i="3"/>
  <c r="G532" i="3"/>
  <c r="G531" i="3"/>
  <c r="G528" i="3"/>
  <c r="G523" i="3"/>
  <c r="G518" i="3"/>
  <c r="G514" i="3"/>
  <c r="G508" i="3"/>
  <c r="G504" i="3"/>
  <c r="G500" i="3"/>
  <c r="G584" i="3"/>
  <c r="G580" i="3"/>
  <c r="G576" i="3"/>
  <c r="G572" i="3"/>
  <c r="G568" i="3"/>
  <c r="G564" i="3"/>
  <c r="G560"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BL536" i="3"/>
  <c r="G533" i="3"/>
  <c r="BL532" i="3"/>
  <c r="BL528" i="3"/>
  <c r="G525" i="3"/>
  <c r="BL524" i="3"/>
  <c r="BL514" i="3"/>
  <c r="BL510" i="3"/>
  <c r="BL504" i="3"/>
  <c r="BL496" i="3"/>
  <c r="G493" i="3"/>
  <c r="BA584" i="3"/>
  <c r="AZ584" i="3" s="1"/>
  <c r="BA580" i="3"/>
  <c r="AZ580" i="3" s="1"/>
  <c r="BA578" i="3"/>
  <c r="BA576" i="3"/>
  <c r="BA572" i="3"/>
  <c r="AZ572" i="3" s="1"/>
  <c r="BA570" i="3"/>
  <c r="BA568" i="3"/>
  <c r="BA564" i="3"/>
  <c r="BA562" i="3"/>
  <c r="BA560" i="3"/>
  <c r="BA556" i="3"/>
  <c r="AZ556" i="3"/>
  <c r="BA552" i="3"/>
  <c r="AZ552" i="3" s="1"/>
  <c r="BA546" i="3"/>
  <c r="AZ546" i="3" s="1"/>
  <c r="BA544" i="3"/>
  <c r="AZ544" i="3" s="1"/>
  <c r="BA540" i="3"/>
  <c r="BA538" i="3"/>
  <c r="BA536" i="3"/>
  <c r="AZ536" i="3" s="1"/>
  <c r="BA534" i="3"/>
  <c r="AZ534" i="3" s="1"/>
  <c r="BA532" i="3"/>
  <c r="AZ532" i="3" s="1"/>
  <c r="BA530" i="3"/>
  <c r="BA526" i="3"/>
  <c r="AZ526" i="3" s="1"/>
  <c r="BA524" i="3"/>
  <c r="AZ524" i="3" s="1"/>
  <c r="BA522" i="3"/>
  <c r="BA518" i="3"/>
  <c r="BA516" i="3"/>
  <c r="AZ516" i="3" s="1"/>
  <c r="BA514" i="3"/>
  <c r="BA510" i="3"/>
  <c r="AZ510" i="3"/>
  <c r="BA506" i="3"/>
  <c r="BA504" i="3"/>
  <c r="AZ504" i="3" s="1"/>
  <c r="BA500" i="3"/>
  <c r="BA498" i="3"/>
  <c r="AZ498" i="3" s="1"/>
  <c r="BA494" i="3"/>
  <c r="BA587" i="3"/>
  <c r="BA581" i="3"/>
  <c r="BA579" i="3"/>
  <c r="BA577" i="3"/>
  <c r="BA573" i="3"/>
  <c r="BA571" i="3"/>
  <c r="BA569" i="3"/>
  <c r="BA565" i="3"/>
  <c r="AZ565" i="3" s="1"/>
  <c r="BA563" i="3"/>
  <c r="BA561" i="3"/>
  <c r="BA555" i="3"/>
  <c r="BA553" i="3"/>
  <c r="AZ553" i="3" s="1"/>
  <c r="BA549" i="3"/>
  <c r="BA545" i="3"/>
  <c r="BA543" i="3"/>
  <c r="BA541" i="3"/>
  <c r="BA537" i="3"/>
  <c r="BA535" i="3"/>
  <c r="BA533" i="3"/>
  <c r="BA529" i="3"/>
  <c r="BA527" i="3"/>
  <c r="BA525" i="3"/>
  <c r="BA519" i="3"/>
  <c r="BA517" i="3"/>
  <c r="BA515"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7" i="31"/>
  <c r="S26" i="31"/>
  <c r="U14" i="40"/>
  <c r="U39" i="37"/>
  <c r="AC36" i="34"/>
  <c r="AA13" i="33"/>
  <c r="AC31"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G189" i="3"/>
  <c r="BA191" i="3"/>
  <c r="BL192" i="3"/>
  <c r="G193" i="3"/>
  <c r="BA195" i="3"/>
  <c r="BL196" i="3"/>
  <c r="G197" i="3"/>
  <c r="BA199" i="3"/>
  <c r="AZ199" i="3" s="1"/>
  <c r="BL200" i="3"/>
  <c r="AZ200" i="3" s="1"/>
  <c r="G201" i="3"/>
  <c r="BA203" i="3"/>
  <c r="AZ203" i="3" s="1"/>
  <c r="BL204" i="3"/>
  <c r="AZ204" i="3" s="1"/>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6" i="3"/>
  <c r="AZ162"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AZ391" i="3" s="1"/>
  <c r="BL392" i="3"/>
  <c r="G393" i="3"/>
  <c r="AZ283" i="3"/>
  <c r="BJ5" i="3"/>
  <c r="BH5" i="3"/>
  <c r="BF5" i="3"/>
  <c r="AC5" i="3"/>
  <c r="AZ506" i="3"/>
  <c r="G548" i="3"/>
  <c r="G538" i="3"/>
  <c r="G520" i="3"/>
  <c r="G502" i="3"/>
  <c r="BS5" i="3"/>
  <c r="BP5" i="3"/>
  <c r="BN5" i="3"/>
  <c r="BI5" i="3"/>
  <c r="BE5" i="3"/>
  <c r="G17" i="3"/>
  <c r="BA17" i="3"/>
  <c r="BA15" i="3"/>
  <c r="BB5" i="3"/>
  <c r="BR5" i="3"/>
  <c r="AZ380" i="3"/>
  <c r="AZ392" i="3"/>
  <c r="AZ499" i="3"/>
  <c r="G509" i="3"/>
  <c r="BL493" i="3"/>
  <c r="AZ493" i="3" s="1"/>
  <c r="U36" i="40"/>
  <c r="F83" i="43"/>
  <c r="H85" i="43" s="1"/>
  <c r="F50" i="43"/>
  <c r="H54" i="43" s="1"/>
  <c r="F72" i="43"/>
  <c r="H75" i="43" s="1"/>
  <c r="U17" i="39"/>
  <c r="S14" i="35"/>
  <c r="U43" i="21"/>
  <c r="U35" i="21"/>
  <c r="AC35" i="21"/>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AZ280" i="3"/>
  <c r="AZ69" i="3"/>
  <c r="AZ77"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65" i="3"/>
  <c r="W12" i="33"/>
  <c r="AC12" i="33"/>
  <c r="BL14" i="3"/>
  <c r="U30" i="33"/>
  <c r="AC13" i="34"/>
  <c r="AA47" i="34"/>
  <c r="W28" i="37"/>
  <c r="S19" i="39"/>
  <c r="F12" i="33"/>
  <c r="H12" i="39"/>
  <c r="AB12" i="39" s="1"/>
  <c r="F39" i="40"/>
  <c r="AZ224" i="3"/>
  <c r="AZ250"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U27" i="21"/>
  <c r="AB25" i="21"/>
  <c r="AB44" i="21"/>
  <c r="AA30"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U23" i="21" s="1"/>
  <c r="S13" i="21"/>
  <c r="AP7" i="1"/>
  <c r="AB45" i="21"/>
  <c r="AB9" i="21"/>
  <c r="AA32" i="21"/>
  <c r="S32" i="21"/>
  <c r="W9" i="21"/>
  <c r="AB32" i="21"/>
  <c r="U32" i="21"/>
  <c r="U32" i="39"/>
  <c r="AC32" i="39"/>
  <c r="W32" i="39"/>
  <c r="W23" i="37"/>
  <c r="J63" i="37"/>
  <c r="K63" i="37" s="1"/>
  <c r="L63" i="37" s="1"/>
  <c r="M63" i="37" s="1"/>
  <c r="J11" i="37"/>
  <c r="AC11" i="37" s="1"/>
  <c r="J11" i="34"/>
  <c r="W11" i="34" s="1"/>
  <c r="AB36" i="33"/>
  <c r="W27" i="33"/>
  <c r="W25" i="33"/>
  <c r="AC25" i="33"/>
  <c r="AA17"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0" i="15"/>
  <c r="B7" i="76"/>
  <c r="B11" i="76"/>
  <c r="B9" i="76"/>
  <c r="F6" i="73"/>
  <c r="M26" i="15"/>
  <c r="E10" i="76"/>
  <c r="F43" i="15"/>
  <c r="F7" i="73"/>
  <c r="F36" i="15"/>
  <c r="M22" i="15"/>
  <c r="B12" i="76"/>
  <c r="F38" i="15"/>
  <c r="F5" i="73"/>
  <c r="L47" i="15"/>
  <c r="E7" i="76"/>
  <c r="M9" i="15"/>
  <c r="AO13" i="1"/>
  <c r="B8" i="76"/>
  <c r="E12" i="76"/>
  <c r="F4" i="73"/>
  <c r="F20" i="31"/>
  <c r="F37" i="15"/>
  <c r="F9" i="15"/>
  <c r="E11" i="76"/>
  <c r="E9" i="76"/>
  <c r="J15" i="15"/>
  <c r="B13" i="76"/>
  <c r="M24" i="15"/>
  <c r="E13" i="76"/>
  <c r="M29" i="15"/>
  <c r="B10" i="76"/>
  <c r="M28" i="15"/>
  <c r="F7" i="15"/>
  <c r="M8" i="15"/>
  <c r="E8" i="76"/>
  <c r="D6" i="73"/>
  <c r="F13" i="15"/>
  <c r="C76" i="15"/>
  <c r="F16" i="15"/>
  <c r="E2" i="69"/>
  <c r="F3" i="73"/>
  <c r="M23" i="15"/>
  <c r="BA14" i="3" l="1"/>
  <c r="BC5" i="3"/>
  <c r="H5" i="3"/>
  <c r="C18" i="9"/>
  <c r="D18" i="9" s="1"/>
  <c r="D87" i="43"/>
  <c r="G1" i="67"/>
  <c r="K1" i="12"/>
  <c r="G1" i="69"/>
  <c r="G29" i="6"/>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C7" i="34"/>
  <c r="M47" i="9"/>
  <c r="C7" i="35"/>
  <c r="C48" i="35" s="1"/>
  <c r="D48" i="35" s="1"/>
  <c r="C7" i="40"/>
  <c r="C63" i="40" s="1"/>
  <c r="C7" i="39"/>
  <c r="C67" i="39" s="1"/>
  <c r="D67" i="39" s="1"/>
  <c r="D69" i="39" s="1"/>
  <c r="AB34" i="35"/>
  <c r="U34" i="35"/>
  <c r="AB19" i="33"/>
  <c r="AB23" i="21"/>
  <c r="U26" i="37"/>
  <c r="AB26" i="37"/>
  <c r="D121" i="9"/>
  <c r="D7" i="52" s="1"/>
  <c r="D6" i="52"/>
  <c r="AZ529" i="3"/>
  <c r="AA27" i="35"/>
  <c r="S27" i="35"/>
  <c r="J12" i="40"/>
  <c r="F12" i="40"/>
  <c r="J39" i="40"/>
  <c r="H39" i="40"/>
  <c r="W38" i="34"/>
  <c r="AC38" i="34"/>
  <c r="BL578" i="3"/>
  <c r="BL576" i="3"/>
  <c r="BA575" i="3"/>
  <c r="AZ575" i="3" s="1"/>
  <c r="BA574" i="3"/>
  <c r="AZ574" i="3" s="1"/>
  <c r="BA567" i="3"/>
  <c r="BA566" i="3"/>
  <c r="AZ566" i="3" s="1"/>
  <c r="BL562" i="3"/>
  <c r="BL560" i="3"/>
  <c r="AZ560" i="3" s="1"/>
  <c r="BA559" i="3"/>
  <c r="AZ559" i="3" s="1"/>
  <c r="BA558" i="3"/>
  <c r="AZ558" i="3" s="1"/>
  <c r="BA554" i="3"/>
  <c r="AZ554" i="3" s="1"/>
  <c r="BA547" i="3"/>
  <c r="BL540" i="3"/>
  <c r="AZ540" i="3" s="1"/>
  <c r="BA539" i="3"/>
  <c r="BA531" i="3"/>
  <c r="AZ531" i="3" s="1"/>
  <c r="BA528" i="3"/>
  <c r="AZ528" i="3" s="1"/>
  <c r="BA523" i="3"/>
  <c r="BL518" i="3"/>
  <c r="BA508" i="3"/>
  <c r="AZ508" i="3" s="1"/>
  <c r="BA502" i="3"/>
  <c r="S36" i="33"/>
  <c r="AA23" i="37"/>
  <c r="S17" i="37"/>
  <c r="W33" i="34"/>
  <c r="AB33" i="34"/>
  <c r="AA40" i="34"/>
  <c r="S23" i="39"/>
  <c r="W27" i="40"/>
  <c r="S43" i="34"/>
  <c r="U32" i="37"/>
  <c r="S30" i="40"/>
  <c r="AZ14" i="3"/>
  <c r="S15" i="37"/>
  <c r="AZ345" i="3"/>
  <c r="AZ334" i="3"/>
  <c r="AZ372" i="3"/>
  <c r="AZ347" i="3"/>
  <c r="AZ337" i="3"/>
  <c r="AZ376" i="3"/>
  <c r="AZ309" i="3"/>
  <c r="AA11" i="39"/>
  <c r="AC12" i="37"/>
  <c r="AC45" i="33"/>
  <c r="W47" i="34"/>
  <c r="AZ515" i="3"/>
  <c r="AZ523" i="3"/>
  <c r="AZ547" i="3"/>
  <c r="AZ579" i="3"/>
  <c r="AZ518" i="3"/>
  <c r="AZ564" i="3"/>
  <c r="AZ576" i="3"/>
  <c r="AA14" i="34"/>
  <c r="AC31" i="34"/>
  <c r="AA28" i="34"/>
  <c r="S28" i="34"/>
  <c r="C15" i="39"/>
  <c r="J29" i="21"/>
  <c r="H29" i="21"/>
  <c r="F32" i="36"/>
  <c r="J32" i="36"/>
  <c r="W32" i="36" s="1"/>
  <c r="AC31" i="37"/>
  <c r="W31" i="37"/>
  <c r="H45" i="39"/>
  <c r="F45" i="39"/>
  <c r="BA583" i="3"/>
  <c r="AZ583" i="3" s="1"/>
  <c r="BA582" i="3"/>
  <c r="AZ582" i="3" s="1"/>
  <c r="U12" i="39"/>
  <c r="AA27" i="40"/>
  <c r="AB27" i="40"/>
  <c r="AZ362" i="3"/>
  <c r="AZ390" i="3"/>
  <c r="AZ351" i="3"/>
  <c r="AZ336" i="3"/>
  <c r="AZ539" i="3"/>
  <c r="AZ571" i="3"/>
  <c r="AZ568" i="3"/>
  <c r="AB26" i="33"/>
  <c r="AA45" i="33"/>
  <c r="S45" i="33"/>
  <c r="BA586" i="3"/>
  <c r="BL585" i="3"/>
  <c r="AZ585" i="3" s="1"/>
  <c r="AC33" i="33"/>
  <c r="W33" i="33"/>
  <c r="AB40" i="33"/>
  <c r="U40" i="33"/>
  <c r="F9" i="34"/>
  <c r="AA9" i="34" s="1"/>
  <c r="H9" i="34"/>
  <c r="J9" i="34"/>
  <c r="AC28" i="35"/>
  <c r="W28" i="35"/>
  <c r="J12" i="34"/>
  <c r="F12" i="34"/>
  <c r="S12" i="34" s="1"/>
  <c r="H23" i="36"/>
  <c r="J23" i="36"/>
  <c r="AB34" i="40"/>
  <c r="U34" i="40"/>
  <c r="BA548" i="3"/>
  <c r="BA542" i="3"/>
  <c r="AZ542" i="3" s="1"/>
  <c r="BL538" i="3"/>
  <c r="BL522" i="3"/>
  <c r="AZ522" i="3" s="1"/>
  <c r="BA520" i="3"/>
  <c r="AZ520" i="3" s="1"/>
  <c r="BA513" i="3"/>
  <c r="AZ513" i="3" s="1"/>
  <c r="BA512" i="3"/>
  <c r="AZ512" i="3" s="1"/>
  <c r="BL502" i="3"/>
  <c r="AZ502" i="3" s="1"/>
  <c r="BL500" i="3"/>
  <c r="AZ500" i="3" s="1"/>
  <c r="BA496" i="3"/>
  <c r="AZ496" i="3" s="1"/>
  <c r="AC11" i="39"/>
  <c r="AZ15" i="3"/>
  <c r="F29" i="6"/>
  <c r="AZ318" i="3"/>
  <c r="AZ306" i="3"/>
  <c r="AZ577" i="3"/>
  <c r="AZ537" i="3"/>
  <c r="AZ538" i="3"/>
  <c r="AZ570" i="3"/>
  <c r="S11" i="36"/>
  <c r="AB46" i="33"/>
  <c r="U46" i="33"/>
  <c r="H13" i="21"/>
  <c r="J13" i="21"/>
  <c r="B101" i="43"/>
  <c r="B79" i="43"/>
  <c r="C25" i="39"/>
  <c r="J9" i="33"/>
  <c r="F9" i="33"/>
  <c r="AA9" i="33" s="1"/>
  <c r="J23" i="35"/>
  <c r="H23" i="35"/>
  <c r="F23" i="35"/>
  <c r="G585" i="3"/>
  <c r="BL587" i="3"/>
  <c r="AZ587" i="3" s="1"/>
  <c r="BL586" i="3"/>
  <c r="G558" i="3"/>
  <c r="G556" i="3"/>
  <c r="BA551" i="3"/>
  <c r="AZ551" i="3" s="1"/>
  <c r="BA550" i="3"/>
  <c r="BL548" i="3"/>
  <c r="AZ4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53" i="3"/>
  <c r="AZ353" i="3" s="1"/>
  <c r="BL353" i="3"/>
  <c r="BL257" i="3"/>
  <c r="BL258"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BA459" i="3"/>
  <c r="AZ459" i="3" s="1"/>
  <c r="BA460" i="3"/>
  <c r="AZ460" i="3" s="1"/>
  <c r="BA461" i="3"/>
  <c r="BL464" i="3"/>
  <c r="BL466" i="3"/>
  <c r="AZ466" i="3" s="1"/>
  <c r="G469" i="3"/>
  <c r="BL476" i="3"/>
  <c r="AZ476" i="3" s="1"/>
  <c r="BL477" i="3"/>
  <c r="BL478" i="3"/>
  <c r="BL480" i="3"/>
  <c r="AZ480" i="3" s="1"/>
  <c r="BA483" i="3"/>
  <c r="BL483" i="3"/>
  <c r="BA486" i="3"/>
  <c r="BL489" i="3"/>
  <c r="BL491" i="3"/>
  <c r="BL492" i="3"/>
  <c r="BA315" i="3"/>
  <c r="AZ315" i="3" s="1"/>
  <c r="BA333" i="3"/>
  <c r="BL346" i="3"/>
  <c r="AZ346" i="3" s="1"/>
  <c r="BL367" i="3"/>
  <c r="BL375" i="3"/>
  <c r="AZ375" i="3" s="1"/>
  <c r="BL383" i="3"/>
  <c r="AZ383" i="3" s="1"/>
  <c r="BA396" i="3"/>
  <c r="BA208" i="3"/>
  <c r="AZ208" i="3" s="1"/>
  <c r="BL213" i="3"/>
  <c r="BL216" i="3"/>
  <c r="G217" i="3"/>
  <c r="BL217" i="3"/>
  <c r="BA219" i="3"/>
  <c r="AZ219" i="3" s="1"/>
  <c r="G223" i="3"/>
  <c r="BA226" i="3"/>
  <c r="BA231" i="3"/>
  <c r="G234" i="3"/>
  <c r="BA237" i="3"/>
  <c r="AZ237" i="3" s="1"/>
  <c r="BA240" i="3"/>
  <c r="AZ240" i="3" s="1"/>
  <c r="AZ125" i="3"/>
  <c r="BL16" i="3"/>
  <c r="AZ16" i="3" s="1"/>
  <c r="BA401" i="3"/>
  <c r="AZ401" i="3" s="1"/>
  <c r="BA403" i="3"/>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58" i="3"/>
  <c r="BA366" i="3"/>
  <c r="AZ366" i="3" s="1"/>
  <c r="BA368" i="3"/>
  <c r="AZ368" i="3" s="1"/>
  <c r="BL368" i="3"/>
  <c r="BA374" i="3"/>
  <c r="AZ374" i="3" s="1"/>
  <c r="BA384" i="3"/>
  <c r="AZ384" i="3" s="1"/>
  <c r="G209" i="3"/>
  <c r="AZ217" i="3"/>
  <c r="G221" i="3"/>
  <c r="BA223" i="3"/>
  <c r="BL227" i="3"/>
  <c r="G228" i="3"/>
  <c r="BL228" i="3"/>
  <c r="AZ228" i="3" s="1"/>
  <c r="BA230" i="3"/>
  <c r="AZ230" i="3" s="1"/>
  <c r="BL234" i="3"/>
  <c r="G238" i="3"/>
  <c r="BA242" i="3"/>
  <c r="AZ242" i="3" s="1"/>
  <c r="BA245" i="3"/>
  <c r="AZ245" i="3" s="1"/>
  <c r="BL252" i="3"/>
  <c r="BA257" i="3"/>
  <c r="AZ257" i="3" s="1"/>
  <c r="AZ462"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L381" i="3"/>
  <c r="AZ381" i="3" s="1"/>
  <c r="G382" i="3"/>
  <c r="BL386" i="3"/>
  <c r="G387" i="3"/>
  <c r="BA388" i="3"/>
  <c r="AZ388" i="3" s="1"/>
  <c r="BA209" i="3"/>
  <c r="G215" i="3"/>
  <c r="BA221" i="3"/>
  <c r="G232" i="3"/>
  <c r="BA233" i="3"/>
  <c r="AZ233" i="3" s="1"/>
  <c r="G236" i="3"/>
  <c r="BA238" i="3"/>
  <c r="G243" i="3"/>
  <c r="BL248" i="3"/>
  <c r="AZ248" i="3" s="1"/>
  <c r="BA255" i="3"/>
  <c r="BA262" i="3"/>
  <c r="AZ262" i="3" s="1"/>
  <c r="BL265" i="3"/>
  <c r="AZ265" i="3" s="1"/>
  <c r="BA273" i="3"/>
  <c r="BL173" i="3"/>
  <c r="BA176" i="3"/>
  <c r="AZ176" i="3" s="1"/>
  <c r="BL183" i="3"/>
  <c r="AZ183" i="3" s="1"/>
  <c r="BA186" i="3"/>
  <c r="AZ186" i="3" s="1"/>
  <c r="BL189" i="3"/>
  <c r="AZ189" i="3" s="1"/>
  <c r="BL190" i="3"/>
  <c r="AZ190" i="3" s="1"/>
  <c r="BA192" i="3"/>
  <c r="AZ192" i="3" s="1"/>
  <c r="BL195" i="3"/>
  <c r="AZ195" i="3" s="1"/>
  <c r="BA197" i="3"/>
  <c r="AZ197" i="3" s="1"/>
  <c r="BA201" i="3"/>
  <c r="AZ201" i="3" s="1"/>
  <c r="BA202" i="3"/>
  <c r="BA207" i="3"/>
  <c r="G364" i="3"/>
  <c r="BA367" i="3"/>
  <c r="AZ367" i="3" s="1"/>
  <c r="BA370" i="3"/>
  <c r="AZ370" i="3" s="1"/>
  <c r="BA386" i="3"/>
  <c r="G397" i="3"/>
  <c r="G210" i="3"/>
  <c r="BA216" i="3"/>
  <c r="AZ216" i="3" s="1"/>
  <c r="BA218" i="3"/>
  <c r="AZ218" i="3" s="1"/>
  <c r="BL218" i="3"/>
  <c r="BL220" i="3"/>
  <c r="BL221" i="3"/>
  <c r="G222" i="3"/>
  <c r="BL223" i="3"/>
  <c r="G224" i="3"/>
  <c r="BA227" i="3"/>
  <c r="BA229" i="3"/>
  <c r="AZ229" i="3" s="1"/>
  <c r="BL229" i="3"/>
  <c r="BL231" i="3"/>
  <c r="G233" i="3"/>
  <c r="BL233" i="3"/>
  <c r="G235" i="3"/>
  <c r="BL235" i="3"/>
  <c r="AZ235" i="3" s="1"/>
  <c r="BL236" i="3"/>
  <c r="G237" i="3"/>
  <c r="BL238" i="3"/>
  <c r="G239" i="3"/>
  <c r="BL243" i="3"/>
  <c r="AZ243" i="3" s="1"/>
  <c r="BA247" i="3"/>
  <c r="AZ247" i="3" s="1"/>
  <c r="BL247" i="3"/>
  <c r="BA249" i="3"/>
  <c r="AZ249" i="3" s="1"/>
  <c r="BL249" i="3"/>
  <c r="BA251" i="3"/>
  <c r="AZ251" i="3" s="1"/>
  <c r="BL251" i="3"/>
  <c r="BA253" i="3"/>
  <c r="BL260" i="3"/>
  <c r="G262" i="3"/>
  <c r="BL263" i="3"/>
  <c r="BL270" i="3"/>
  <c r="AZ270" i="3" s="1"/>
  <c r="BA272" i="3"/>
  <c r="AZ272" i="3" s="1"/>
  <c r="BL275" i="3"/>
  <c r="AZ275" i="3" s="1"/>
  <c r="G277" i="3"/>
  <c r="G280" i="3"/>
  <c r="BL285" i="3"/>
  <c r="BL287" i="3"/>
  <c r="BA290" i="3"/>
  <c r="BL299" i="3"/>
  <c r="BL113" i="3"/>
  <c r="BL115" i="3"/>
  <c r="AZ115" i="3" s="1"/>
  <c r="BA118" i="3"/>
  <c r="BL118" i="3"/>
  <c r="BA122" i="3"/>
  <c r="AZ122" i="3" s="1"/>
  <c r="BL125" i="3"/>
  <c r="BL126" i="3"/>
  <c r="BA144" i="3"/>
  <c r="AZ144" i="3" s="1"/>
  <c r="BA153" i="3"/>
  <c r="BL155" i="3"/>
  <c r="AZ155" i="3" s="1"/>
  <c r="BL385" i="3"/>
  <c r="G392"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263" i="3"/>
  <c r="AZ263" i="3" s="1"/>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A164" i="3"/>
  <c r="AZ164" i="3" s="1"/>
  <c r="BA166" i="3"/>
  <c r="AZ166" i="3" s="1"/>
  <c r="BA177" i="3"/>
  <c r="AZ177" i="3" s="1"/>
  <c r="BA178" i="3"/>
  <c r="BA188" i="3"/>
  <c r="AZ188" i="3" s="1"/>
  <c r="AZ64" i="3"/>
  <c r="BL73" i="3"/>
  <c r="BA74" i="3"/>
  <c r="AZ74" i="3" s="1"/>
  <c r="BA75" i="3"/>
  <c r="AZ75" i="3" s="1"/>
  <c r="BA78" i="3"/>
  <c r="BA80" i="3"/>
  <c r="BL84" i="3"/>
  <c r="AA21" i="33"/>
  <c r="S21" i="33"/>
  <c r="AA21" i="37"/>
  <c r="S21" i="37"/>
  <c r="V24" i="71"/>
  <c r="E23" i="71"/>
  <c r="E22" i="71" s="1"/>
  <c r="E21" i="71" s="1"/>
  <c r="E20" i="71"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G45" i="3"/>
  <c r="BL45" i="3"/>
  <c r="BA48" i="3"/>
  <c r="BA49" i="3"/>
  <c r="BA51" i="3"/>
  <c r="G54" i="3"/>
  <c r="G55" i="3"/>
  <c r="BL56" i="3"/>
  <c r="BA58" i="3"/>
  <c r="BL59" i="3"/>
  <c r="AZ59" i="3" s="1"/>
  <c r="BL60" i="3"/>
  <c r="BA61" i="3"/>
  <c r="AZ61" i="3" s="1"/>
  <c r="BA68" i="3"/>
  <c r="BA73" i="3"/>
  <c r="BA79" i="3"/>
  <c r="AZ79" i="3" s="1"/>
  <c r="G82" i="3"/>
  <c r="G83" i="3"/>
  <c r="BA84" i="3"/>
  <c r="AZ84" i="3" s="1"/>
  <c r="BL88" i="3"/>
  <c r="AZ88" i="3" s="1"/>
  <c r="G90" i="3"/>
  <c r="BL90" i="3"/>
  <c r="G98" i="3"/>
  <c r="G99" i="3"/>
  <c r="BA105" i="3"/>
  <c r="BA106" i="3"/>
  <c r="BL108" i="3"/>
  <c r="G110" i="3"/>
  <c r="BL112" i="3"/>
  <c r="C47" i="71"/>
  <c r="D47" i="71" s="1"/>
  <c r="D46" i="71"/>
  <c r="BA18" i="3"/>
  <c r="BL21" i="3"/>
  <c r="BL29" i="3"/>
  <c r="BA37" i="3"/>
  <c r="BL39" i="3"/>
  <c r="BA45" i="3"/>
  <c r="BA46" i="3"/>
  <c r="BL49" i="3"/>
  <c r="BL50" i="3"/>
  <c r="AZ50" i="3" s="1"/>
  <c r="BL51" i="3"/>
  <c r="BL53" i="3"/>
  <c r="BA56" i="3"/>
  <c r="BA57" i="3"/>
  <c r="AZ57" i="3" s="1"/>
  <c r="BL58" i="3"/>
  <c r="BA60" i="3"/>
  <c r="BA63" i="3"/>
  <c r="AZ63" i="3" s="1"/>
  <c r="BA66" i="3"/>
  <c r="BA71" i="3"/>
  <c r="AZ71" i="3" s="1"/>
  <c r="BL83" i="3"/>
  <c r="BA90" i="3"/>
  <c r="BA94" i="3"/>
  <c r="AZ94" i="3" s="1"/>
  <c r="BA100" i="3"/>
  <c r="BA103" i="3"/>
  <c r="AZ103" i="3" s="1"/>
  <c r="BA104" i="3"/>
  <c r="BA111" i="3"/>
  <c r="AZ111" i="3" s="1"/>
  <c r="K13" i="1"/>
  <c r="M13" i="1" s="1"/>
  <c r="O13" i="1" s="1"/>
  <c r="P13" i="1" s="1"/>
  <c r="F40" i="68"/>
  <c r="C21" i="68"/>
  <c r="AC29" i="39"/>
  <c r="W29" i="39"/>
  <c r="D31" i="71"/>
  <c r="C32" i="71"/>
  <c r="C52" i="71"/>
  <c r="D51" i="71"/>
  <c r="C55" i="71"/>
  <c r="D54" i="71"/>
  <c r="C60" i="71"/>
  <c r="D59" i="71"/>
  <c r="N67" i="71"/>
  <c r="B66" i="71"/>
  <c r="F66" i="71"/>
  <c r="Q67" i="71"/>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BL91" i="3"/>
  <c r="BL100" i="3"/>
  <c r="BL105" i="3"/>
  <c r="BL107" i="3"/>
  <c r="C40" i="68"/>
  <c r="AB29" i="39"/>
  <c r="U29" i="39"/>
  <c r="P65" i="71"/>
  <c r="P66" i="71"/>
  <c r="G81" i="3"/>
  <c r="G85" i="3"/>
  <c r="BL85" i="3"/>
  <c r="BA86" i="3"/>
  <c r="AZ86" i="3" s="1"/>
  <c r="BA87" i="3"/>
  <c r="BA91" i="3"/>
  <c r="AZ91" i="3" s="1"/>
  <c r="G96" i="3"/>
  <c r="BL97" i="3"/>
  <c r="AZ97" i="3" s="1"/>
  <c r="BL101" i="3"/>
  <c r="AZ101" i="3" s="1"/>
  <c r="BL102" i="3"/>
  <c r="AZ102" i="3" s="1"/>
  <c r="G104" i="3"/>
  <c r="G105" i="3"/>
  <c r="BL106" i="3"/>
  <c r="BA108" i="3"/>
  <c r="AZ108" i="3" s="1"/>
  <c r="BA110" i="3"/>
  <c r="AZ110" i="3" s="1"/>
  <c r="F3" i="35"/>
  <c r="S25" i="40"/>
  <c r="B77" i="43"/>
  <c r="AA18" i="35"/>
  <c r="O67" i="71"/>
  <c r="AA28" i="71"/>
  <c r="AB27"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D85" i="43" s="1"/>
  <c r="J86" i="43"/>
  <c r="J87" i="43"/>
  <c r="J88" i="43"/>
  <c r="J89" i="43"/>
  <c r="D89" i="43" s="1"/>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M7" i="15"/>
  <c r="F50" i="15"/>
  <c r="F71" i="15"/>
  <c r="L59" i="15"/>
  <c r="N59" i="15"/>
  <c r="M59" i="15"/>
  <c r="F66" i="15"/>
  <c r="F64" i="15"/>
  <c r="F65" i="15"/>
  <c r="B13" i="70"/>
  <c r="F68" i="15"/>
  <c r="C36" i="68"/>
  <c r="D9" i="69"/>
  <c r="C36" i="69"/>
  <c r="D9" i="68"/>
  <c r="F37" i="67"/>
  <c r="M29" i="67"/>
  <c r="F8" i="15"/>
  <c r="C76" i="67"/>
  <c r="F16" i="67"/>
  <c r="J15" i="67"/>
  <c r="F40" i="67"/>
  <c r="D7" i="73"/>
  <c r="M28" i="67"/>
  <c r="L48" i="15"/>
  <c r="F36" i="67"/>
  <c r="D4" i="73"/>
  <c r="M9" i="67"/>
  <c r="F9" i="67"/>
  <c r="F6" i="67"/>
  <c r="M26" i="67"/>
  <c r="F26" i="15"/>
  <c r="F42" i="15"/>
  <c r="F42" i="67"/>
  <c r="F43" i="67"/>
  <c r="F13" i="67"/>
  <c r="M22" i="67"/>
  <c r="D5" i="73"/>
  <c r="F26" i="67"/>
  <c r="F8" i="67"/>
  <c r="L48" i="67"/>
  <c r="C16" i="15"/>
  <c r="M6" i="15"/>
  <c r="L47" i="67"/>
  <c r="F38" i="67"/>
  <c r="F7" i="67"/>
  <c r="D3" i="73"/>
  <c r="M24" i="67"/>
  <c r="M8" i="67"/>
  <c r="M23" i="67"/>
  <c r="M6" i="67"/>
  <c r="E83" i="43" l="1"/>
  <c r="B81" i="43" s="1"/>
  <c r="F71" i="67"/>
  <c r="F65" i="67"/>
  <c r="F68" i="67"/>
  <c r="F64" i="67"/>
  <c r="F51" i="67"/>
  <c r="Q71" i="67"/>
  <c r="M7" i="67"/>
  <c r="J6" i="67" s="1"/>
  <c r="J18" i="67" s="1"/>
  <c r="F50" i="67"/>
  <c r="I54" i="67"/>
  <c r="J53" i="67"/>
  <c r="Q52" i="67" s="1"/>
  <c r="J57" i="67"/>
  <c r="J55" i="67" s="1"/>
  <c r="J58" i="67" s="1"/>
  <c r="Q50" i="67" s="1"/>
  <c r="L56" i="67"/>
  <c r="C6" i="67"/>
  <c r="C32" i="67" s="1"/>
  <c r="N370" i="46"/>
  <c r="J26" i="43"/>
  <c r="F26" i="43"/>
  <c r="H16" i="1"/>
  <c r="N94" i="46"/>
  <c r="Q16" i="1"/>
  <c r="F27" i="69" s="1"/>
  <c r="C47" i="69" s="1"/>
  <c r="D45" i="69" s="1"/>
  <c r="P6" i="1"/>
  <c r="C13" i="12" s="1"/>
  <c r="E28" i="6"/>
  <c r="K14" i="1" s="1"/>
  <c r="K16" i="1" s="1"/>
  <c r="E59" i="40"/>
  <c r="G16" i="1"/>
  <c r="F10" i="39" s="1"/>
  <c r="S10" i="39" s="1"/>
  <c r="N59" i="67"/>
  <c r="L58" i="67"/>
  <c r="Q73" i="67" s="1"/>
  <c r="M59" i="67"/>
  <c r="L59" i="67"/>
  <c r="Q61" i="67" s="1"/>
  <c r="F51" i="15"/>
  <c r="C49" i="15" s="1"/>
  <c r="F66" i="67"/>
  <c r="F31" i="15"/>
  <c r="C27" i="67"/>
  <c r="C27" i="15"/>
  <c r="J57" i="15"/>
  <c r="J55" i="15" s="1"/>
  <c r="J58" i="15" s="1"/>
  <c r="Q50" i="15" s="1"/>
  <c r="I54" i="15"/>
  <c r="L58" i="15"/>
  <c r="Q60" i="15" s="1"/>
  <c r="J53" i="15"/>
  <c r="L56" i="15" s="1"/>
  <c r="J6" i="15"/>
  <c r="J18" i="15" s="1"/>
  <c r="D20" i="53"/>
  <c r="B40" i="72" s="1"/>
  <c r="E26" i="43"/>
  <c r="H26" i="43"/>
  <c r="G30" i="6"/>
  <c r="G31" i="6" s="1"/>
  <c r="C70" i="71"/>
  <c r="D70" i="71" s="1"/>
  <c r="D71" i="71"/>
  <c r="D60" i="71"/>
  <c r="T60" i="71"/>
  <c r="T52" i="71"/>
  <c r="D52" i="71"/>
  <c r="AZ66" i="3"/>
  <c r="AZ178" i="3"/>
  <c r="AZ227" i="3"/>
  <c r="AZ273" i="3"/>
  <c r="AZ441" i="3"/>
  <c r="AZ405" i="3"/>
  <c r="AZ425" i="3"/>
  <c r="W12" i="34"/>
  <c r="AC12" i="34"/>
  <c r="U9" i="34"/>
  <c r="AB9" i="34"/>
  <c r="U29" i="21"/>
  <c r="AB29" i="21"/>
  <c r="AA12" i="40"/>
  <c r="S12" i="40"/>
  <c r="G5" i="3"/>
  <c r="B3" i="3" s="1"/>
  <c r="E199" i="3" s="1"/>
  <c r="T28" i="71"/>
  <c r="D28" i="71"/>
  <c r="U28" i="71" s="1"/>
  <c r="C27" i="71"/>
  <c r="D79" i="71"/>
  <c r="C78" i="71"/>
  <c r="D78" i="71" s="1"/>
  <c r="O65" i="71"/>
  <c r="D66" i="71"/>
  <c r="O66" i="71"/>
  <c r="N65" i="71"/>
  <c r="N66" i="71"/>
  <c r="T32" i="71"/>
  <c r="D32" i="71"/>
  <c r="AZ182" i="3"/>
  <c r="AA23" i="35"/>
  <c r="S23" i="35"/>
  <c r="AC9" i="33"/>
  <c r="W9" i="33"/>
  <c r="AC13" i="21"/>
  <c r="W13" i="21"/>
  <c r="AC23" i="36"/>
  <c r="W23" i="36"/>
  <c r="AC29" i="21"/>
  <c r="W29" i="21"/>
  <c r="W12" i="40"/>
  <c r="AC12" i="40"/>
  <c r="D83" i="71"/>
  <c r="C82" i="71"/>
  <c r="D82" i="71" s="1"/>
  <c r="C44" i="71"/>
  <c r="D43" i="71"/>
  <c r="C86" i="71"/>
  <c r="D86" i="71" s="1"/>
  <c r="D87" i="71"/>
  <c r="AZ39" i="3"/>
  <c r="AZ21" i="3"/>
  <c r="C56" i="71"/>
  <c r="D55" i="71"/>
  <c r="AZ58" i="3"/>
  <c r="AZ51" i="3"/>
  <c r="AZ274" i="3"/>
  <c r="AZ297" i="3"/>
  <c r="AZ241" i="3"/>
  <c r="AZ118" i="3"/>
  <c r="AZ238" i="3"/>
  <c r="AZ223" i="3"/>
  <c r="AZ332" i="3"/>
  <c r="AZ403" i="3"/>
  <c r="AZ483" i="3"/>
  <c r="AZ457" i="3"/>
  <c r="AZ421" i="3"/>
  <c r="AZ550" i="3"/>
  <c r="U23" i="35"/>
  <c r="AB23" i="35"/>
  <c r="AB13" i="21"/>
  <c r="U13" i="21"/>
  <c r="AZ548" i="3"/>
  <c r="U23" i="36"/>
  <c r="AB23" i="36"/>
  <c r="S45" i="39"/>
  <c r="AA45" i="39"/>
  <c r="AB39" i="40"/>
  <c r="U39" i="40"/>
  <c r="C40" i="71"/>
  <c r="D39" i="71"/>
  <c r="C36" i="71"/>
  <c r="D35" i="71"/>
  <c r="AZ100" i="3"/>
  <c r="AZ45" i="3"/>
  <c r="AZ105" i="3"/>
  <c r="AZ49" i="3"/>
  <c r="AZ386" i="3"/>
  <c r="AZ461" i="3"/>
  <c r="AC23" i="35"/>
  <c r="W23" i="35"/>
  <c r="AC9" i="34"/>
  <c r="W9" i="34"/>
  <c r="AZ586" i="3"/>
  <c r="U45" i="39"/>
  <c r="AB45" i="39"/>
  <c r="S32" i="36"/>
  <c r="AA32" i="36"/>
  <c r="AC39" i="40"/>
  <c r="W39" i="40"/>
  <c r="J7" i="37"/>
  <c r="K1" i="73"/>
  <c r="E56" i="3"/>
  <c r="E23" i="3"/>
  <c r="E129" i="3"/>
  <c r="E534" i="3"/>
  <c r="E452" i="3"/>
  <c r="E83" i="3"/>
  <c r="E498" i="3"/>
  <c r="E419" i="3"/>
  <c r="E226" i="3"/>
  <c r="E455" i="3"/>
  <c r="E38" i="3"/>
  <c r="E339" i="3"/>
  <c r="E392" i="3"/>
  <c r="E147" i="3"/>
  <c r="E340" i="3"/>
  <c r="E265" i="3"/>
  <c r="E165" i="3"/>
  <c r="E141" i="3"/>
  <c r="E348" i="3"/>
  <c r="E65" i="3"/>
  <c r="E222" i="3"/>
  <c r="E500" i="3"/>
  <c r="E110" i="3"/>
  <c r="E354" i="3"/>
  <c r="E582" i="3"/>
  <c r="E297" i="3"/>
  <c r="E47" i="3"/>
  <c r="E374" i="3"/>
  <c r="E163" i="3"/>
  <c r="AD6" i="3"/>
  <c r="E167" i="3"/>
  <c r="E307" i="3"/>
  <c r="E127" i="3"/>
  <c r="E157" i="3"/>
  <c r="E532" i="3"/>
  <c r="E474" i="3"/>
  <c r="E168" i="3"/>
  <c r="E257" i="3"/>
  <c r="E196" i="3"/>
  <c r="U6" i="3"/>
  <c r="E547" i="3"/>
  <c r="E546" i="3"/>
  <c r="E317" i="3"/>
  <c r="E319" i="3"/>
  <c r="E153" i="3"/>
  <c r="E390" i="3"/>
  <c r="S6" i="3"/>
  <c r="E321" i="3"/>
  <c r="E213" i="3"/>
  <c r="E254" i="3"/>
  <c r="E303" i="3"/>
  <c r="E434" i="3"/>
  <c r="E262" i="3"/>
  <c r="E120" i="3"/>
  <c r="AE6" i="3"/>
  <c r="E55" i="3"/>
  <c r="E274" i="3"/>
  <c r="E236" i="3"/>
  <c r="E448" i="3"/>
  <c r="E443" i="3"/>
  <c r="E295" i="3"/>
  <c r="E316" i="3"/>
  <c r="E125" i="3"/>
  <c r="E239" i="3"/>
  <c r="E569" i="3"/>
  <c r="E358" i="3"/>
  <c r="E551" i="3"/>
  <c r="E294" i="3"/>
  <c r="E130" i="3"/>
  <c r="E550" i="3"/>
  <c r="E61" i="3"/>
  <c r="E245" i="3"/>
  <c r="E336" i="3"/>
  <c r="E583" i="3"/>
  <c r="E85" i="3"/>
  <c r="E99" i="3"/>
  <c r="E193" i="3"/>
  <c r="E573" i="3"/>
  <c r="E562" i="3"/>
  <c r="E571" i="3"/>
  <c r="E450" i="3"/>
  <c r="E150" i="3"/>
  <c r="E351" i="3"/>
  <c r="E31" i="3"/>
  <c r="E269" i="3"/>
  <c r="E585" i="3"/>
  <c r="E515" i="3"/>
  <c r="E505" i="3"/>
  <c r="AS6" i="3"/>
  <c r="E447" i="3"/>
  <c r="E210" i="3"/>
  <c r="E331" i="3"/>
  <c r="E441" i="3"/>
  <c r="E530" i="3"/>
  <c r="E508" i="3"/>
  <c r="E388" i="3"/>
  <c r="E143" i="3"/>
  <c r="E533" i="3"/>
  <c r="AR6" i="3"/>
  <c r="E380" i="3"/>
  <c r="E231" i="3"/>
  <c r="E261" i="3"/>
  <c r="E361" i="3"/>
  <c r="E180" i="3"/>
  <c r="E134" i="3"/>
  <c r="E495" i="3"/>
  <c r="E124" i="3"/>
  <c r="E399" i="3"/>
  <c r="E181" i="3"/>
  <c r="AK6" i="3"/>
  <c r="E277" i="3"/>
  <c r="E560" i="3"/>
  <c r="E406" i="3"/>
  <c r="E465" i="3"/>
  <c r="E468" i="3"/>
  <c r="E454" i="3"/>
  <c r="E106" i="3"/>
  <c r="E214" i="3"/>
  <c r="E315" i="3"/>
  <c r="E74" i="3"/>
  <c r="E368" i="3"/>
  <c r="E204" i="3"/>
  <c r="E327" i="3"/>
  <c r="E485" i="3"/>
  <c r="E400" i="3"/>
  <c r="E345" i="3"/>
  <c r="E489" i="3"/>
  <c r="E28" i="3"/>
  <c r="E182" i="3"/>
  <c r="E273" i="3"/>
  <c r="E572" i="3"/>
  <c r="E109" i="3"/>
  <c r="E268" i="3"/>
  <c r="E322" i="3"/>
  <c r="AJ6" i="3"/>
  <c r="E431" i="3"/>
  <c r="E247" i="3"/>
  <c r="E311" i="3"/>
  <c r="E570" i="3"/>
  <c r="AB6" i="3"/>
  <c r="E387" i="3"/>
  <c r="E189" i="3"/>
  <c r="E69" i="3"/>
  <c r="E278" i="3"/>
  <c r="E445" i="3"/>
  <c r="E535" i="3"/>
  <c r="E135" i="3"/>
  <c r="E263" i="3"/>
  <c r="AI6" i="3"/>
  <c r="E385" i="3"/>
  <c r="E100" i="3"/>
  <c r="E200" i="3"/>
  <c r="E148" i="3"/>
  <c r="E296" i="3"/>
  <c r="E275"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Q74" i="15"/>
  <c r="Q61" i="15"/>
  <c r="AE11" i="1"/>
  <c r="AE9" i="1"/>
  <c r="AE7" i="1"/>
  <c r="AE8" i="1"/>
  <c r="AE12" i="1"/>
  <c r="AE10" i="1"/>
  <c r="C16" i="67"/>
  <c r="G1" i="73"/>
  <c r="F41" i="67"/>
  <c r="J10" i="15" l="1"/>
  <c r="E118" i="3"/>
  <c r="E487" i="3"/>
  <c r="E132" i="3"/>
  <c r="E246" i="3"/>
  <c r="E191" i="3"/>
  <c r="E172" i="3"/>
  <c r="E335" i="3"/>
  <c r="E514" i="3"/>
  <c r="E579" i="3"/>
  <c r="E217" i="3"/>
  <c r="E211" i="3"/>
  <c r="E531" i="3"/>
  <c r="Z6" i="3"/>
  <c r="E227" i="3"/>
  <c r="E171" i="3"/>
  <c r="E587" i="3"/>
  <c r="K6" i="3"/>
  <c r="E568" i="3"/>
  <c r="E301" i="3"/>
  <c r="E528" i="3"/>
  <c r="E439" i="3"/>
  <c r="E410" i="3"/>
  <c r="E175" i="3"/>
  <c r="E162" i="3"/>
  <c r="E478" i="3"/>
  <c r="E549" i="3"/>
  <c r="E111" i="3"/>
  <c r="E458" i="3"/>
  <c r="E314" i="3"/>
  <c r="E293" i="3"/>
  <c r="E415" i="3"/>
  <c r="E559" i="3"/>
  <c r="E282" i="3"/>
  <c r="E581" i="3"/>
  <c r="I6" i="3"/>
  <c r="E481" i="3"/>
  <c r="E353" i="3"/>
  <c r="E169" i="3"/>
  <c r="E359" i="3"/>
  <c r="E272" i="3"/>
  <c r="E207" i="3"/>
  <c r="E537" i="3"/>
  <c r="E122" i="3"/>
  <c r="E195" i="3"/>
  <c r="E542" i="3"/>
  <c r="E48" i="3"/>
  <c r="E244" i="3"/>
  <c r="E155" i="3"/>
  <c r="E20" i="3"/>
  <c r="E325" i="3"/>
  <c r="E43" i="3"/>
  <c r="E116" i="3"/>
  <c r="E556" i="3"/>
  <c r="E494" i="3"/>
  <c r="E190" i="3"/>
  <c r="E522" i="3"/>
  <c r="E103" i="3"/>
  <c r="F28" i="12"/>
  <c r="C29" i="12" s="1"/>
  <c r="D28" i="12" s="1"/>
  <c r="F27" i="11"/>
  <c r="C29" i="11" s="1"/>
  <c r="D27" i="11" s="1"/>
  <c r="F27" i="68"/>
  <c r="C29" i="68" s="1"/>
  <c r="D27" i="68" s="1"/>
  <c r="E242" i="3"/>
  <c r="E119" i="3"/>
  <c r="X6" i="3"/>
  <c r="E423" i="3"/>
  <c r="E161" i="3"/>
  <c r="E563" i="3"/>
  <c r="E215" i="3"/>
  <c r="M6" i="3"/>
  <c r="E201" i="3"/>
  <c r="E509" i="3"/>
  <c r="E526" i="3"/>
  <c r="E377" i="3"/>
  <c r="E70" i="3"/>
  <c r="E557" i="3"/>
  <c r="AO6" i="3"/>
  <c r="E89" i="3"/>
  <c r="E362" i="3"/>
  <c r="E146" i="3"/>
  <c r="E577" i="3"/>
  <c r="E472" i="3"/>
  <c r="E228" i="3"/>
  <c r="E77" i="3"/>
  <c r="E350" i="3"/>
  <c r="E503" i="3"/>
  <c r="E185" i="3"/>
  <c r="E561" i="3"/>
  <c r="E337" i="3"/>
  <c r="E305" i="3"/>
  <c r="E384" i="3"/>
  <c r="E27" i="3"/>
  <c r="E477" i="3"/>
  <c r="E271" i="3"/>
  <c r="E318" i="3"/>
  <c r="E72" i="3"/>
  <c r="E527" i="3"/>
  <c r="E45" i="3"/>
  <c r="E453" i="3"/>
  <c r="E382" i="3"/>
  <c r="E260" i="3"/>
  <c r="E320" i="3"/>
  <c r="E396" i="3"/>
  <c r="E366" i="3"/>
  <c r="E88" i="3"/>
  <c r="E252" i="3"/>
  <c r="E203" i="3"/>
  <c r="E437" i="3"/>
  <c r="E280" i="3"/>
  <c r="E17" i="3"/>
  <c r="E338" i="3"/>
  <c r="E328" i="3"/>
  <c r="E291" i="3"/>
  <c r="E432" i="3"/>
  <c r="E357" i="3"/>
  <c r="W6" i="3"/>
  <c r="E306" i="3"/>
  <c r="E413" i="3"/>
  <c r="Y6" i="3"/>
  <c r="E373" i="3"/>
  <c r="E323" i="3"/>
  <c r="E57" i="3"/>
  <c r="E24" i="3"/>
  <c r="E398" i="3"/>
  <c r="E218" i="3"/>
  <c r="E112" i="3"/>
  <c r="E137" i="3"/>
  <c r="E333" i="3"/>
  <c r="E490" i="3"/>
  <c r="E78" i="3"/>
  <c r="E308" i="3"/>
  <c r="E21" i="3"/>
  <c r="F10" i="40"/>
  <c r="S10" i="40" s="1"/>
  <c r="AA10" i="39"/>
  <c r="H10" i="40"/>
  <c r="AB10" i="40" s="1"/>
  <c r="J10" i="40"/>
  <c r="AC10" i="40" s="1"/>
  <c r="H10" i="39"/>
  <c r="U10" i="39" s="1"/>
  <c r="J10" i="39"/>
  <c r="W10" i="39" s="1"/>
  <c r="Q74" i="67"/>
  <c r="F45" i="69"/>
  <c r="C29" i="69"/>
  <c r="D27" i="69" s="1"/>
  <c r="Q52" i="15"/>
  <c r="Q60" i="67"/>
  <c r="D26" i="43"/>
  <c r="C25" i="43" s="1"/>
  <c r="C33" i="43" s="1"/>
  <c r="C49" i="67"/>
  <c r="F1" i="67"/>
  <c r="F1" i="15"/>
  <c r="M14" i="1"/>
  <c r="M16" i="1" s="1"/>
  <c r="E493" i="3"/>
  <c r="E370" i="3"/>
  <c r="E104" i="3"/>
  <c r="T6" i="3"/>
  <c r="E251" i="3"/>
  <c r="E332" i="3"/>
  <c r="E144" i="3"/>
  <c r="E76" i="3"/>
  <c r="E442" i="3"/>
  <c r="E192" i="3"/>
  <c r="E539" i="3"/>
  <c r="E255" i="3"/>
  <c r="E363" i="3"/>
  <c r="E300" i="3"/>
  <c r="E264" i="3"/>
  <c r="E75" i="3"/>
  <c r="E86" i="3"/>
  <c r="E140" i="3"/>
  <c r="E360" i="3"/>
  <c r="E41" i="3"/>
  <c r="E342" i="3"/>
  <c r="E223" i="3"/>
  <c r="E507" i="3"/>
  <c r="E40" i="3"/>
  <c r="E60" i="3"/>
  <c r="E79" i="3"/>
  <c r="E234" i="3"/>
  <c r="E52" i="3"/>
  <c r="E289" i="3"/>
  <c r="E62" i="3"/>
  <c r="E101" i="3"/>
  <c r="E566" i="3"/>
  <c r="E58" i="3"/>
  <c r="E51" i="3"/>
  <c r="E416" i="3"/>
  <c r="E446" i="3"/>
  <c r="E19" i="3"/>
  <c r="E436" i="3"/>
  <c r="E584" i="3"/>
  <c r="E259" i="3"/>
  <c r="E179" i="3"/>
  <c r="E87" i="3"/>
  <c r="E98" i="3"/>
  <c r="E461" i="3"/>
  <c r="E224" i="3"/>
  <c r="E288" i="3"/>
  <c r="E54" i="3"/>
  <c r="E14" i="3"/>
  <c r="E379" i="3"/>
  <c r="E367" i="3"/>
  <c r="E92" i="3"/>
  <c r="E29" i="3"/>
  <c r="E426" i="3"/>
  <c r="E285" i="3"/>
  <c r="E418" i="3"/>
  <c r="E237" i="3"/>
  <c r="E302" i="3"/>
  <c r="AN6" i="3"/>
  <c r="E238" i="3"/>
  <c r="E177" i="3"/>
  <c r="E344" i="3"/>
  <c r="E73" i="3"/>
  <c r="E580" i="3"/>
  <c r="E576" i="3"/>
  <c r="E558" i="3"/>
  <c r="E121" i="3"/>
  <c r="E480" i="3"/>
  <c r="N6" i="3"/>
  <c r="E229" i="3"/>
  <c r="E407" i="3"/>
  <c r="E114" i="3"/>
  <c r="E117" i="3"/>
  <c r="E518" i="3"/>
  <c r="E253" i="3"/>
  <c r="E511" i="3"/>
  <c r="E519" i="3"/>
  <c r="E457" i="3"/>
  <c r="E433" i="3"/>
  <c r="E279" i="3"/>
  <c r="E567" i="3"/>
  <c r="E107" i="3"/>
  <c r="E414" i="3"/>
  <c r="E476" i="3"/>
  <c r="E186" i="3"/>
  <c r="E44" i="3"/>
  <c r="E343" i="3"/>
  <c r="E555" i="3"/>
  <c r="E270" i="3"/>
  <c r="E538" i="3"/>
  <c r="E216" i="3"/>
  <c r="E183" i="3"/>
  <c r="E91" i="3"/>
  <c r="E586" i="3"/>
  <c r="E347" i="3"/>
  <c r="E545" i="3"/>
  <c r="E133" i="3"/>
  <c r="E334" i="3"/>
  <c r="E404" i="3"/>
  <c r="AG6" i="3"/>
  <c r="E394" i="3"/>
  <c r="E429" i="3"/>
  <c r="Q6" i="3"/>
  <c r="E156" i="3"/>
  <c r="E159" i="3"/>
  <c r="E304" i="3"/>
  <c r="E523" i="3"/>
  <c r="E574" i="3"/>
  <c r="E53" i="3"/>
  <c r="E71" i="3"/>
  <c r="E411" i="3"/>
  <c r="E397" i="3"/>
  <c r="E475" i="3"/>
  <c r="E529" i="3"/>
  <c r="E136" i="3"/>
  <c r="E187" i="3"/>
  <c r="E488" i="3"/>
  <c r="E462" i="3"/>
  <c r="E266" i="3"/>
  <c r="E149" i="3"/>
  <c r="E209" i="3"/>
  <c r="E421" i="3"/>
  <c r="E386" i="3"/>
  <c r="E460" i="3"/>
  <c r="E365" i="3"/>
  <c r="E50" i="3"/>
  <c r="E36" i="3"/>
  <c r="E194" i="3"/>
  <c r="E540" i="3"/>
  <c r="E202" i="3"/>
  <c r="E486" i="3"/>
  <c r="E80" i="3"/>
  <c r="E243" i="3"/>
  <c r="E469" i="3"/>
  <c r="E287" i="3"/>
  <c r="E482" i="3"/>
  <c r="E381" i="3"/>
  <c r="E425" i="3"/>
  <c r="E435" i="3"/>
  <c r="E3" i="6"/>
  <c r="E68" i="3"/>
  <c r="E84" i="3"/>
  <c r="E160" i="3"/>
  <c r="E59" i="3"/>
  <c r="E258" i="3"/>
  <c r="E491" i="3"/>
  <c r="E466" i="3"/>
  <c r="E510"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72" i="3"/>
  <c r="E25" i="3"/>
  <c r="E376" i="3"/>
  <c r="E564" i="3"/>
  <c r="E329" i="3"/>
  <c r="E35" i="3"/>
  <c r="E356" i="3"/>
  <c r="E470" i="3"/>
  <c r="E512" i="3"/>
  <c r="E197" i="3"/>
  <c r="AF6" i="3"/>
  <c r="E174" i="3"/>
  <c r="E391" i="3"/>
  <c r="E283" i="3"/>
  <c r="E184" i="3"/>
  <c r="E371" i="3"/>
  <c r="E467" i="3"/>
  <c r="E349" i="3"/>
  <c r="E37" i="3"/>
  <c r="I3" i="6"/>
  <c r="E575"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R6"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541" i="3"/>
  <c r="E499" i="3"/>
  <c r="E536" i="3"/>
  <c r="J5" i="67"/>
  <c r="J24" i="67" s="1"/>
  <c r="Q73" i="15"/>
  <c r="J5" i="15"/>
  <c r="J24" i="15" s="1"/>
  <c r="C26" i="71"/>
  <c r="D26" i="71" s="1"/>
  <c r="D27" i="71"/>
  <c r="AP6" i="3"/>
  <c r="E430" i="3"/>
  <c r="E502" i="3"/>
  <c r="E286" i="3"/>
  <c r="T40" i="71"/>
  <c r="D40" i="71"/>
  <c r="D56" i="71"/>
  <c r="T56" i="71"/>
  <c r="D36" i="71"/>
  <c r="T36" i="71"/>
  <c r="D44" i="71"/>
  <c r="T44"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M27" i="67"/>
  <c r="AE6" i="1"/>
  <c r="AG6" i="1" l="1"/>
  <c r="P16" i="81"/>
  <c r="Q15" i="81" s="1"/>
  <c r="F45" i="68"/>
  <c r="C47" i="68"/>
  <c r="D45" i="68" s="1"/>
  <c r="U10" i="40"/>
  <c r="W10" i="40"/>
  <c r="C48" i="67"/>
  <c r="C66" i="67" s="1"/>
  <c r="H6" i="3"/>
  <c r="AC6" i="3"/>
  <c r="F25" i="12"/>
  <c r="C26" i="12" s="1"/>
  <c r="D25" i="12" s="1"/>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6" i="15"/>
  <c r="C14" i="67"/>
  <c r="C17" i="67"/>
  <c r="M27" i="15"/>
  <c r="C17" i="15"/>
  <c r="F41" i="15"/>
  <c r="C6" i="15" l="1"/>
  <c r="C33" i="15" s="1"/>
  <c r="H22" i="6"/>
  <c r="B2" i="74"/>
  <c r="H25" i="6"/>
  <c r="F41" i="68"/>
  <c r="C44" i="11"/>
  <c r="D41" i="11" s="1"/>
  <c r="F69" i="15"/>
  <c r="C60" i="67"/>
  <c r="E6" i="3"/>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67"/>
  <c r="J19" i="67"/>
  <c r="C34" i="68"/>
  <c r="B6" i="76"/>
  <c r="E6" i="76"/>
  <c r="C14" i="15"/>
  <c r="C32" i="15" l="1"/>
  <c r="C10" i="15"/>
  <c r="C5" i="15" s="1"/>
  <c r="C38" i="15" s="1"/>
  <c r="B3" i="43"/>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C20" i="68"/>
  <c r="C28" i="68" s="1"/>
  <c r="C27" i="68"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C32" i="12" l="1"/>
  <c r="B2" i="12" s="1"/>
  <c r="B3" i="12"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E2" i="68"/>
  <c r="D2" i="34"/>
  <c r="L51" i="15"/>
  <c r="D2" i="37"/>
  <c r="D2" i="36"/>
  <c r="B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8" i="1"/>
  <c r="C19" i="9"/>
  <c r="AO9" i="1"/>
  <c r="AO10" i="1"/>
  <c r="C102" i="9" l="1"/>
  <c r="C21" i="9"/>
  <c r="B3" i="68"/>
  <c r="C7" i="71"/>
  <c r="D8" i="71"/>
  <c r="L46" i="15"/>
  <c r="B2" i="15" s="1"/>
  <c r="H44"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AO6" i="1"/>
  <c r="C20" i="9"/>
  <c r="D19" i="9"/>
  <c r="D34" i="9"/>
  <c r="C103" i="9" l="1"/>
  <c r="D102" i="9"/>
  <c r="D21" i="9"/>
  <c r="G19" i="9"/>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D6" i="71"/>
  <c r="C5" i="71"/>
  <c r="D5" i="71" s="1"/>
  <c r="M24" i="43" s="1"/>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25" i="31"/>
  <c r="S25" i="31" s="1"/>
  <c r="S22" i="31" l="1"/>
  <c r="R22" i="31" l="1"/>
  <c r="B20" i="31"/>
  <c r="B21" i="31" l="1"/>
  <c r="G14" i="74"/>
  <c r="B6" i="74" s="1"/>
  <c r="D6" i="74" s="1"/>
  <c r="F118" i="9"/>
  <c r="F4" i="52" s="1"/>
  <c r="B51" i="72" s="1"/>
  <c r="H118" i="9"/>
  <c r="I118" i="9" s="1"/>
  <c r="C105" i="9" s="1"/>
  <c r="B5" i="74" l="1"/>
  <c r="D5" i="74" s="1"/>
  <c r="F14" i="74"/>
  <c r="E14" i="74"/>
  <c r="H102" i="9"/>
  <c r="I4" i="52"/>
  <c r="F119" i="9"/>
  <c r="F5" i="52" s="1"/>
  <c r="B53" i="72" s="1"/>
  <c r="G118" i="9"/>
  <c r="G4" i="52" s="1"/>
  <c r="B52" i="72" s="1"/>
  <c r="H119" i="9"/>
  <c r="H5" i="52" s="1"/>
  <c r="H101" i="9"/>
  <c r="C104" i="9"/>
  <c r="H4" i="52"/>
  <c r="D118" i="9"/>
  <c r="C5" i="74" l="1"/>
  <c r="D7" i="53"/>
  <c r="B21" i="72" s="1"/>
  <c r="E118" i="9"/>
  <c r="E4" i="52" s="1"/>
  <c r="B48" i="72" s="1"/>
  <c r="D119" i="9"/>
  <c r="D5" i="52" s="1"/>
  <c r="B49" i="72" s="1"/>
  <c r="D4" i="52"/>
  <c r="B47" i="72" s="1"/>
  <c r="D5" i="53"/>
  <c r="M48" i="9"/>
  <c r="D45" i="9"/>
  <c r="H107" i="9"/>
  <c r="B20" i="72" l="1"/>
  <c r="D6" i="53"/>
  <c r="B22" i="72" s="1"/>
  <c r="H108" i="9"/>
  <c r="D13" i="53"/>
  <c r="D122" i="9"/>
  <c r="M49" i="9"/>
  <c r="D52" i="9"/>
  <c r="C85" i="9"/>
  <c r="C72" i="9"/>
  <c r="C64" i="9"/>
  <c r="C63" i="9" s="1"/>
  <c r="C67" i="9" s="1"/>
  <c r="D55" i="9"/>
  <c r="M53" i="9" s="1"/>
  <c r="C93" i="9"/>
  <c r="C86" i="9" s="1"/>
  <c r="D53" i="9"/>
  <c r="C78" i="9"/>
  <c r="C73" i="9" s="1"/>
  <c r="C95" i="9" l="1"/>
  <c r="B30" i="72"/>
  <c r="D14" i="53"/>
  <c r="B32" i="72" s="1"/>
  <c r="D15" i="53"/>
  <c r="B31" i="72" s="1"/>
  <c r="C6" i="74"/>
  <c r="D59" i="9"/>
  <c r="M55" i="9" s="1"/>
  <c r="C68" i="9"/>
  <c r="D54" i="9" s="1"/>
  <c r="L68" i="9"/>
  <c r="M68" i="9" s="1"/>
  <c r="L65" i="9"/>
  <c r="M65" i="9" s="1"/>
  <c r="L67" i="9"/>
  <c r="M67" i="9" s="1"/>
  <c r="L63" i="9"/>
  <c r="M63" i="9" s="1"/>
  <c r="L66" i="9"/>
  <c r="M66" i="9" s="1"/>
  <c r="L64" i="9"/>
  <c r="M64" i="9" s="1"/>
  <c r="C79" i="9"/>
  <c r="D123" i="9"/>
  <c r="D9" i="52" s="1"/>
  <c r="D8" i="52"/>
  <c r="C80" i="9" l="1"/>
  <c r="E80" i="9" s="1"/>
  <c r="E81" i="9" s="1"/>
  <c r="M69" i="9"/>
  <c r="N69" i="9" s="1"/>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<sst xmlns="http://schemas.openxmlformats.org/spreadsheetml/2006/main" count="8114" uniqueCount="3558">
  <si>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</si>
  <si>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</si>
  <si>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</si>
  <si>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</si>
  <si>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</si>
  <si>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</si>
  <si>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</si>
  <si>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</si>
  <si>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</si>
  <si>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</si>
  <si>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</si>
  <si>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</si>
  <si>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</si>
  <si>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</si>
  <si>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</si>
  <si>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</si>
  <si>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</si>
  <si>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</si>
  <si>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</si>
  <si>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</si>
  <si>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</si>
  <si>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</si>
  <si>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</si>
  <si>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</si>
  <si>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</si>
  <si>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</si>
  <si>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</si>
  <si>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</si>
  <si>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</si>
  <si>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</si>
  <si>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</si>
  <si>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</si>
  <si>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</si>
  <si>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</si>
  <si>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</si>
  <si>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</si>
  <si>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</si>
  <si>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</si>
  <si>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</si>
  <si>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</si>
  <si>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</si>
  <si>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</si>
  <si>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</si>
  <si>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</si>
  <si>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</si>
  <si>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</si>
  <si>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</si>
  <si>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</si>
  <si>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</si>
  <si>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</si>
  <si>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</si>
  <si>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</si>
  <si>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</si>
  <si>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</si>
  <si>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</si>
  <si>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</si>
  <si>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</si>
  <si>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</si>
  <si>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</si>
  <si>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</si>
  <si>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</si>
  <si>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</si>
  <si>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</si>
  <si>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</si>
  <si>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</si>
  <si>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</si>
  <si>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</si>
  <si>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</si>
  <si>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</si>
  <si>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</si>
  <si>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</si>
  <si>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</si>
  <si>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</si>
  <si>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</si>
  <si>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</si>
  <si>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</si>
  <si>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</si>
  <si>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</si>
  <si>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</si>
  <si>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</si>
  <si>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</si>
  <si>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</si>
  <si>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</si>
  <si>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</si>
  <si>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</si>
  <si>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</si>
  <si>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</si>
  <si>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</si>
  <si>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</si>
  <si>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</si>
  <si>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</si>
  <si>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</si>
  <si>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</si>
  <si>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</si>
  <si>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</si>
  <si>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</si>
  <si>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</si>
  <si>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</si>
  <si>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</si>
  <si>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</si>
  <si>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</si>
  <si>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</si>
  <si>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</si>
  <si>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</si>
  <si>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</si>
  <si>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</si>
  <si>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</si>
  <si>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</si>
  <si>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</si>
  <si>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</si>
  <si>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</si>
  <si>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</si>
  <si>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</si>
  <si>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</si>
  <si>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</si>
  <si>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</si>
  <si>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</si>
  <si>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</si>
  <si>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</si>
  <si>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</si>
  <si>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</si>
  <si>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</si>
  <si>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</si>
  <si>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</si>
  <si>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</si>
  <si>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</si>
  <si>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</si>
  <si>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</si>
  <si>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</si>
  <si>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</si>
  <si>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</si>
  <si>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</si>
  <si>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</si>
  <si>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</si>
  <si>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</si>
  <si>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</si>
  <si>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</si>
  <si>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</si>
  <si>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</si>
  <si>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</si>
  <si>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</si>
  <si>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</si>
  <si>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</si>
  <si>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</si>
  <si>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</si>
  <si>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</si>
  <si>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</si>
  <si>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</si>
  <si>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</si>
  <si>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</si>
  <si>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</si>
  <si>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</si>
  <si>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</si>
  <si>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</si>
  <si>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</si>
  <si>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</si>
  <si>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</si>
  <si>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</si>
  <si>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</si>
  <si>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</si>
  <si>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</si>
  <si>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</si>
  <si>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</si>
  <si>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</si>
  <si>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</si>
  <si>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</si>
  <si>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</si>
  <si>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</si>
  <si>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</si>
  <si>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</si>
  <si>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</si>
  <si>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</si>
  <si>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</si>
  <si>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</si>
  <si>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</si>
  <si>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</si>
  <si>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</si>
  <si>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</si>
  <si>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</si>
  <si>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</si>
  <si>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</si>
  <si>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</si>
  <si>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</si>
  <si>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</si>
  <si>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</si>
  <si>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</si>
  <si>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</si>
  <si>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</si>
  <si>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</si>
  <si>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</si>
  <si>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</si>
  <si>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</si>
  <si>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</si>
  <si>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</si>
  <si>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</si>
  <si>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</si>
  <si>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</si>
  <si>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</si>
  <si>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</si>
  <si>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</si>
  <si>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</si>
  <si>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</si>
  <si>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</si>
  <si>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</si>
  <si>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</si>
  <si>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</si>
  <si>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</si>
  <si>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</si>
  <si>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</si>
  <si>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</si>
  <si>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</si>
  <si>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</si>
  <si>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</si>
  <si>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</si>
  <si>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</si>
  <si>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</si>
  <si>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</si>
  <si>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</si>
  <si>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</si>
  <si>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</si>
  <si>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</si>
  <si>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</si>
  <si>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</si>
  <si>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</si>
  <si>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</si>
  <si>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</si>
  <si>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</si>
  <si>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</si>
  <si>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</si>
  <si>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</si>
  <si>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</si>
  <si>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</si>
  <si>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</si>
  <si>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</si>
  <si>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</si>
  <si>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</si>
  <si>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</si>
  <si>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</si>
  <si>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</si>
  <si>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</si>
  <si>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</si>
  <si>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</si>
  <si>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</si>
  <si>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</si>
  <si>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</si>
  <si>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</si>
  <si>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</si>
  <si>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</si>
  <si>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</si>
  <si>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</si>
  <si>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</si>
  <si>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</si>
  <si>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</si>
  <si>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</si>
  <si>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</si>
  <si>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</si>
  <si>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</si>
  <si>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</si>
  <si>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</si>
  <si>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</si>
  <si>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</si>
  <si>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</si>
  <si>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</si>
  <si>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</si>
  <si>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</si>
  <si>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</si>
  <si>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</si>
  <si>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</si>
  <si>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</si>
  <si>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</si>
  <si>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</si>
  <si>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</si>
  <si>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</si>
  <si>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</si>
  <si>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</si>
  <si>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</si>
  <si>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</si>
  <si>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</si>
  <si>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</si>
  <si>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</si>
  <si>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</si>
  <si>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</si>
  <si>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</si>
  <si>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</si>
  <si>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</si>
  <si>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</si>
  <si>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</si>
  <si>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</si>
  <si>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</si>
  <si>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</si>
  <si>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</si>
  <si>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</si>
  <si>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</si>
  <si>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</si>
  <si>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</si>
  <si>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</si>
  <si>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</si>
  <si>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</si>
  <si>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</si>
  <si>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</si>
  <si>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</si>
  <si>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</si>
  <si>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</si>
  <si>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</si>
  <si>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</si>
  <si>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</si>
  <si>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</si>
  <si>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</si>
  <si>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</si>
  <si>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</si>
  <si>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</si>
  <si>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</si>
  <si>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</si>
  <si>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</si>
  <si>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</si>
  <si>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</si>
  <si>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</si>
  <si>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</si>
  <si>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</si>
  <si>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</si>
  <si>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</si>
  <si>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</si>
  <si>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</si>
  <si>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</si>
  <si>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</si>
  <si>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</si>
  <si>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</si>
  <si>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</si>
  <si>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</si>
  <si>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</si>
  <si>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</si>
  <si>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</si>
  <si>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</si>
  <si>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</si>
  <si>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</si>
  <si>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</si>
  <si>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</si>
  <si>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</si>
  <si>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</si>
  <si>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</si>
  <si>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</si>
  <si>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</si>
  <si>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</si>
  <si>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</si>
  <si>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</si>
  <si>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</si>
  <si>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</si>
  <si>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</si>
  <si>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</si>
  <si>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</si>
  <si>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</si>
  <si>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</si>
  <si>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</si>
  <si>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</si>
  <si>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</si>
  <si>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</si>
  <si>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</si>
  <si>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</si>
  <si>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</si>
  <si>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</si>
  <si>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</si>
  <si>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</si>
  <si>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</si>
  <si>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</si>
  <si>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</si>
  <si>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</si>
  <si>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</si>
  <si>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</si>
  <si>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</si>
  <si>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</si>
  <si>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</si>
  <si>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</si>
  <si>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</si>
  <si>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</si>
  <si>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</si>
  <si>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</si>
  <si>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</si>
  <si>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</si>
  <si>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</si>
  <si>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</si>
  <si>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</si>
  <si>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</si>
  <si>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</si>
  <si>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</si>
  <si>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</si>
  <si>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</si>
  <si>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</si>
  <si>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</si>
  <si>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</si>
  <si>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</si>
  <si>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</si>
  <si>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</si>
  <si>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</si>
  <si>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</si>
  <si>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</si>
  <si>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</si>
  <si>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</si>
  <si>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</si>
  <si>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</si>
  <si>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</si>
  <si>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</si>
  <si>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</si>
  <si>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</si>
  <si>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</si>
  <si>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</si>
  <si>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</si>
  <si>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</si>
  <si>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</si>
  <si>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</si>
  <si>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</si>
  <si>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</si>
  <si>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</si>
  <si>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</si>
  <si>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</si>
  <si>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</si>
  <si>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</si>
  <si>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</si>
  <si>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</si>
  <si>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</si>
  <si>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</si>
  <si>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</si>
  <si>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</si>
  <si>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</si>
  <si>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</si>
  <si>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</si>
  <si>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</si>
  <si>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</si>
  <si>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</si>
  <si>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</si>
  <si>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</si>
  <si>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</si>
  <si>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</si>
  <si>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</si>
  <si>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</si>
  <si>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</si>
  <si>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</si>
  <si>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</si>
  <si>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</si>
  <si>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</si>
  <si>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</si>
  <si>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</si>
  <si>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</si>
  <si>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</si>
  <si>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</si>
  <si>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</si>
  <si>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</si>
  <si>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</si>
  <si>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</si>
  <si>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</si>
  <si>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</si>
  <si>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</si>
  <si>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</si>
  <si>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</si>
  <si>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</si>
  <si>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</si>
  <si>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</si>
  <si>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</si>
  <si>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</si>
  <si>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</si>
  <si>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</si>
  <si>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</si>
  <si>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</si>
  <si>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</si>
  <si>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</si>
  <si>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</si>
  <si>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</si>
  <si>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</si>
  <si>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</si>
  <si>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</si>
  <si>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</si>
  <si>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</si>
  <si>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</si>
  <si>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</si>
  <si>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</si>
  <si>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</si>
  <si>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</si>
  <si>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</si>
  <si>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</si>
  <si>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</si>
  <si>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</si>
  <si>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</si>
  <si>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</si>
  <si>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</si>
  <si>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</si>
  <si>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</si>
  <si>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</si>
  <si>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</si>
  <si>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</si>
  <si>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</si>
  <si>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</si>
  <si>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</si>
  <si>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</si>
  <si>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</si>
  <si>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</si>
  <si>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</si>
  <si>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</si>
  <si>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</si>
  <si>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</si>
  <si>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</si>
  <si>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</si>
  <si>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</si>
  <si>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</si>
  <si>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</si>
  <si>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</si>
  <si>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</si>
  <si>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</si>
  <si>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</si>
  <si>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</si>
  <si>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</si>
  <si>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</si>
  <si>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</si>
  <si>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</si>
  <si>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</si>
  <si>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</si>
  <si>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</si>
  <si>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</si>
  <si>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</si>
  <si>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</si>
  <si>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</si>
  <si>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</si>
  <si>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</si>
  <si>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</si>
  <si>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</si>
  <si>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</si>
  <si>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</si>
  <si>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</si>
  <si>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</si>
  <si>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</si>
  <si>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</si>
  <si>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</si>
  <si>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</si>
  <si>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</si>
  <si>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</si>
  <si>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</si>
  <si>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</si>
  <si>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</si>
  <si>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</si>
  <si>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</si>
  <si>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</si>
  <si>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</si>
  <si>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</si>
  <si>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</si>
  <si>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</si>
  <si>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</si>
  <si>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</si>
  <si>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</si>
  <si>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</si>
  <si>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</si>
  <si>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</si>
  <si>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</si>
  <si>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</si>
  <si>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</si>
  <si>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</si>
  <si>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</si>
  <si>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</si>
  <si>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</si>
  <si>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</si>
  <si>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</si>
  <si>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</si>
  <si>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</si>
  <si>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</si>
  <si>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</si>
  <si>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</si>
  <si>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</si>
  <si>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</si>
  <si>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</si>
  <si>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</si>
  <si>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</si>
  <si>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</si>
  <si>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</si>
  <si>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</si>
  <si>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</si>
  <si>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</si>
  <si>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</si>
  <si>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</si>
  <si>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</si>
  <si>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</si>
  <si>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</si>
  <si>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</si>
  <si>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</si>
  <si>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</si>
  <si>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</si>
  <si>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</si>
  <si>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</si>
  <si>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</si>
  <si>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</si>
  <si>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</si>
  <si>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</si>
  <si>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</si>
  <si>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</si>
  <si>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</si>
  <si>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</si>
  <si>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</si>
  <si>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</si>
  <si>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</si>
  <si>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</si>
  <si>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</si>
  <si>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</si>
  <si>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</si>
  <si>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</si>
  <si>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</si>
  <si>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</si>
  <si>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</si>
  <si>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</si>
  <si>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</si>
  <si>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</si>
  <si>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</si>
  <si>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</si>
  <si>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</si>
  <si>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</si>
  <si>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</si>
  <si>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</si>
  <si>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</si>
  <si>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</si>
  <si>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</si>
  <si>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</si>
  <si>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</si>
  <si>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</si>
  <si>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</si>
  <si>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</si>
  <si>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</si>
  <si>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</si>
  <si>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</si>
  <si>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</si>
  <si>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</si>
  <si>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</si>
  <si>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</si>
  <si>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</si>
  <si>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</si>
  <si>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</si>
  <si>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</si>
  <si>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</si>
  <si>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</si>
  <si>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</si>
  <si>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</si>
  <si>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</si>
  <si>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</si>
  <si>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</si>
  <si>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</si>
  <si>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</si>
  <si>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</si>
  <si>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</si>
  <si>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</si>
  <si>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</si>
  <si>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</si>
  <si>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</si>
  <si>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</si>
  <si>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</si>
  <si>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</si>
  <si>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</si>
  <si>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</si>
  <si>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</si>
  <si>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</si>
  <si>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</si>
  <si>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</si>
  <si>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</si>
  <si>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</si>
  <si>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</si>
  <si>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</si>
  <si>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</si>
  <si>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</si>
  <si>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</si>
  <si>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</si>
  <si>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</si>
  <si>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</si>
  <si>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</si>
  <si>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</si>
  <si>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</si>
  <si>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</si>
  <si>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</si>
  <si>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</si>
  <si>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</si>
  <si>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</si>
  <si>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</si>
  <si>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</si>
  <si>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</si>
  <si>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</si>
  <si>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</si>
  <si>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</si>
  <si>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</si>
  <si>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</si>
  <si>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</si>
  <si>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</si>
  <si>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</si>
  <si>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</si>
  <si>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</si>
  <si>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</si>
  <si>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</si>
  <si>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</si>
  <si>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</si>
  <si>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</si>
  <si>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</si>
  <si>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</si>
  <si>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</si>
  <si>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</si>
  <si>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</si>
  <si>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</si>
  <si>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</si>
  <si>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</si>
  <si>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</si>
  <si>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</si>
  <si>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</si>
  <si>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</si>
  <si>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</si>
  <si>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</si>
  <si>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</si>
  <si>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</si>
  <si>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</si>
  <si>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</si>
  <si>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</si>
  <si>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</si>
  <si>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</si>
  <si>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</si>
  <si>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</si>
  <si>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</si>
  <si>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</si>
  <si>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</si>
  <si>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</si>
  <si>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</si>
  <si>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</si>
  <si>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</si>
  <si>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</si>
  <si>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</si>
  <si>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</si>
  <si>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</si>
  <si>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</si>
  <si>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</si>
  <si>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</si>
  <si>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</si>
  <si>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</si>
  <si>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</si>
  <si>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</si>
  <si>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</si>
  <si>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</si>
  <si>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</si>
  <si>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</si>
  <si>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</si>
  <si>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</si>
  <si>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</si>
  <si>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</si>
  <si>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</si>
  <si>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</si>
  <si>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</si>
  <si>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</si>
  <si>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</si>
  <si>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</si>
  <si>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</si>
  <si>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</si>
  <si>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</si>
  <si>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</si>
  <si>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</si>
  <si>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</si>
  <si>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</si>
  <si>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</si>
  <si>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</si>
  <si>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</si>
  <si>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</si>
  <si>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</si>
  <si>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</si>
  <si>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</si>
  <si>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</si>
  <si>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</si>
  <si>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</si>
  <si>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</si>
  <si>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</si>
  <si>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</si>
  <si>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</si>
  <si>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</si>
  <si>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</si>
  <si>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</si>
  <si>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</si>
  <si>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</si>
  <si>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</si>
  <si>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</si>
  <si>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</si>
  <si>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</si>
  <si>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</si>
  <si>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</si>
  <si>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</si>
  <si>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</si>
  <si>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</si>
  <si>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</si>
  <si>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</si>
  <si>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</si>
  <si>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</si>
  <si>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</si>
  <si>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</si>
  <si>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</si>
  <si>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</si>
  <si>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</si>
  <si>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</si>
  <si>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</si>
  <si>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</si>
  <si>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</si>
  <si>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</si>
  <si>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</si>
  <si>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</si>
  <si>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</si>
  <si>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</si>
  <si>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</si>
  <si>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</si>
  <si>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</si>
  <si>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</si>
  <si>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</si>
  <si>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</si>
  <si>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</si>
  <si>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</si>
  <si>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</si>
  <si>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</si>
  <si>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</si>
  <si>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</si>
  <si>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</si>
  <si>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</si>
  <si>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</si>
  <si>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</si>
  <si>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</si>
  <si>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</si>
  <si>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</si>
  <si>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</si>
  <si>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</si>
  <si>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</si>
  <si>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</si>
  <si>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</si>
  <si>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</si>
  <si>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</si>
  <si>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</si>
  <si>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</si>
  <si>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</si>
  <si>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</si>
  <si>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</si>
  <si>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</si>
  <si>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</si>
  <si>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</si>
  <si>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</si>
  <si>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</si>
  <si>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</si>
  <si>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</si>
  <si>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</si>
  <si>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</si>
  <si>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</si>
  <si>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</si>
  <si>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</si>
  <si>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</si>
  <si>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</si>
  <si>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</si>
  <si>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</si>
  <si>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</si>
  <si>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</si>
  <si>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</si>
  <si>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</si>
  <si>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</si>
  <si>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</si>
  <si>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</si>
  <si>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</si>
  <si>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</si>
  <si>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</si>
  <si>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</si>
  <si>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</si>
  <si>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</si>
  <si>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</si>
  <si>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</si>
  <si>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</si>
  <si>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</si>
  <si>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</si>
  <si>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</si>
  <si>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</si>
  <si>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</si>
  <si>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</si>
  <si>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</si>
  <si>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</si>
  <si>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</si>
  <si>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</si>
  <si>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</si>
  <si>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</si>
  <si>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</si>
  <si>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</si>
  <si>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</si>
  <si>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</si>
  <si>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</si>
  <si>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</si>
  <si>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</si>
  <si>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</si>
  <si>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</si>
  <si>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</si>
  <si>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</si>
  <si>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</si>
  <si>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</si>
  <si>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</si>
  <si>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</si>
  <si>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</si>
  <si>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</si>
  <si>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</si>
  <si>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</si>
  <si>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</si>
  <si>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</si>
  <si>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</si>
  <si>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</si>
  <si>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</si>
  <si>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</si>
  <si>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</si>
  <si>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</si>
  <si>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</si>
  <si>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</si>
  <si>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</si>
  <si>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</si>
  <si>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</si>
  <si>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</si>
  <si>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</si>
  <si>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</si>
  <si>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</si>
  <si>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</si>
  <si>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</si>
  <si>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</si>
  <si>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</si>
  <si>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</si>
  <si>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</si>
  <si>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</si>
  <si>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</si>
  <si>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</si>
  <si>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</si>
  <si>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</si>
  <si>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</si>
  <si>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</si>
  <si>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</si>
  <si>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</si>
  <si>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</si>
  <si>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</si>
  <si>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</si>
  <si>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</si>
  <si>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</si>
  <si>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</si>
  <si>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</si>
  <si>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</si>
  <si>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</si>
  <si>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</si>
  <si>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</si>
  <si>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</si>
  <si>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</si>
  <si>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</si>
  <si>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</si>
  <si>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</si>
  <si>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</si>
  <si>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</si>
  <si>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</si>
  <si>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</si>
  <si>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</si>
  <si>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</si>
  <si>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</si>
  <si>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</si>
  <si>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</si>
  <si>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</si>
  <si>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</si>
  <si>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</si>
  <si>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</si>
  <si>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</si>
  <si>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</si>
  <si>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</si>
  <si>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</si>
  <si>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</si>
  <si>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</si>
  <si>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</si>
  <si>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</si>
  <si>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</si>
  <si>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</si>
  <si>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</si>
  <si>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</si>
  <si>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</si>
  <si>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</si>
  <si>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</si>
  <si>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</si>
  <si>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</si>
  <si>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</si>
  <si>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</si>
  <si>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</si>
  <si>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</si>
  <si>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</si>
  <si>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</si>
  <si>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</si>
  <si>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</si>
  <si>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</si>
  <si>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</si>
  <si>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</si>
  <si>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</si>
  <si>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</si>
  <si>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</si>
  <si>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</si>
  <si>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</si>
  <si>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</si>
  <si>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</si>
  <si>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</si>
  <si>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</si>
  <si>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</si>
  <si>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</si>
  <si>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</si>
  <si>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</si>
  <si>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</si>
  <si>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</si>
  <si>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</si>
  <si>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</si>
  <si>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</si>
  <si>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</si>
  <si>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</si>
  <si>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</si>
  <si>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</si>
  <si>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</si>
  <si>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</si>
  <si>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</si>
  <si>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</si>
  <si>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</si>
  <si>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</si>
  <si>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</si>
  <si>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</si>
  <si>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</si>
  <si>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</si>
  <si>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</si>
  <si>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</si>
  <si>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</si>
  <si>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</si>
  <si>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</si>
  <si>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</si>
  <si>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</si>
  <si>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</si>
  <si>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</si>
  <si>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</si>
  <si>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</si>
  <si>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</si>
  <si>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</si>
  <si>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</si>
  <si>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</si>
  <si>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</si>
  <si>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</si>
  <si>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</si>
  <si>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</si>
  <si>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</si>
  <si>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</si>
  <si>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</si>
  <si>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</si>
  <si>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</si>
  <si>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</si>
  <si>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</si>
  <si>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</si>
  <si>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</si>
  <si>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</si>
  <si>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</si>
  <si>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</si>
  <si>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</si>
  <si>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</si>
  <si>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</si>
  <si>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</si>
  <si>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</si>
  <si>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</si>
  <si>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</si>
  <si>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</si>
  <si>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</si>
  <si>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</si>
  <si>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</si>
  <si>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</si>
  <si>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</si>
  <si>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</si>
  <si>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</si>
  <si>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</si>
  <si>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</si>
  <si>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</si>
  <si>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</si>
  <si>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</si>
  <si>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</si>
  <si>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</si>
  <si>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</si>
  <si>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</si>
  <si>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</si>
  <si>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</si>
  <si>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</si>
  <si>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</si>
  <si>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</si>
  <si>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</si>
  <si>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</si>
  <si>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</si>
  <si>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</si>
  <si>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</si>
  <si>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</si>
  <si>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</si>
  <si>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</si>
  <si>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</si>
  <si>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</si>
  <si>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</si>
  <si>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</si>
  <si>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</si>
  <si>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</si>
  <si>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</si>
  <si>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</si>
  <si>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</si>
  <si>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</si>
  <si>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</si>
  <si>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</si>
  <si>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</si>
  <si>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</si>
  <si>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</si>
  <si>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</si>
  <si>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</si>
  <si>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</si>
  <si>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</si>
  <si>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</si>
  <si>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</si>
  <si>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</si>
  <si>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</si>
  <si>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</si>
  <si>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</si>
  <si>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</si>
  <si>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</si>
  <si>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</si>
  <si>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</si>
  <si>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</si>
  <si>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</si>
  <si>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</si>
  <si>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</si>
  <si>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</si>
  <si>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</si>
  <si>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</si>
  <si>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</si>
  <si>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</si>
  <si>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</si>
  <si>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</si>
  <si>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</si>
  <si>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</si>
  <si>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</si>
  <si>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</si>
  <si>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</si>
  <si>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</si>
  <si>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</si>
  <si>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</si>
  <si>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</si>
  <si>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</si>
  <si>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</si>
  <si>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</si>
  <si>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</si>
  <si>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</si>
  <si>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</si>
  <si>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</si>
  <si>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</si>
  <si>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</si>
  <si>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</si>
  <si>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</si>
  <si>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</si>
  <si>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</si>
  <si>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</si>
  <si>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</si>
  <si>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</si>
  <si>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</si>
  <si>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</si>
  <si>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</si>
  <si>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</si>
  <si>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</si>
  <si>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</si>
  <si>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</si>
  <si>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</si>
  <si>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</si>
  <si>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</si>
  <si>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</si>
  <si>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</si>
  <si>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</si>
  <si>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</si>
  <si>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</si>
  <si>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</si>
  <si>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</si>
  <si>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</si>
  <si>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</si>
  <si>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</si>
  <si>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</si>
  <si>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</si>
  <si>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</si>
  <si>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</si>
  <si>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</si>
  <si>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</si>
  <si>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</si>
  <si>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</si>
  <si>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</si>
  <si>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</si>
  <si>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</si>
  <si>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</si>
  <si>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</si>
  <si>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</si>
  <si>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</si>
  <si>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</si>
  <si>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</si>
  <si>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</si>
  <si>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</si>
  <si>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</si>
  <si>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</si>
  <si>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</si>
  <si>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</si>
  <si>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</si>
  <si>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</si>
  <si>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</si>
  <si>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</si>
  <si>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</si>
  <si>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</si>
  <si>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</si>
  <si>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</si>
  <si>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</si>
  <si>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</si>
  <si>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</si>
  <si>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</si>
  <si>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</si>
  <si>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</si>
  <si>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</si>
  <si>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</si>
  <si>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</si>
  <si>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</si>
  <si>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</si>
  <si>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</si>
  <si>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</si>
  <si>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</si>
  <si>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</si>
  <si>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</si>
  <si>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</si>
  <si>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</si>
  <si>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</si>
  <si>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</si>
  <si>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</si>
  <si>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</si>
  <si>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</si>
  <si>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</si>
  <si>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</si>
  <si>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</si>
  <si>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</si>
  <si>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</si>
  <si>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</si>
  <si>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</si>
  <si>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</si>
  <si>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</si>
  <si>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</si>
  <si>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</si>
  <si>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</si>
  <si>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</si>
  <si>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</si>
  <si>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</si>
  <si>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</si>
  <si>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</si>
  <si>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</si>
  <si>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</si>
  <si>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</si>
  <si>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</si>
  <si>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</si>
  <si>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</si>
  <si>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</si>
  <si>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</si>
  <si>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</si>
  <si>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</si>
  <si>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</si>
  <si>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</si>
  <si>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</si>
  <si>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</si>
  <si>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</si>
  <si>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</si>
  <si>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</si>
  <si>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</si>
  <si>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</si>
  <si>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</si>
  <si>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</si>
  <si>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</si>
  <si>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</si>
  <si>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</si>
  <si>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</si>
  <si>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</si>
  <si>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</si>
  <si>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</si>
  <si>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</si>
  <si>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</si>
  <si>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</si>
  <si>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</si>
  <si>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</si>
  <si>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</si>
  <si>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</si>
  <si>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</si>
  <si>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</si>
  <si>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</si>
  <si>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</si>
  <si>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</si>
  <si>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</si>
  <si>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</si>
  <si>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</si>
  <si>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</si>
  <si>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</si>
  <si>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</si>
  <si>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</si>
  <si>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</si>
  <si>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</si>
  <si>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</si>
  <si>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</si>
  <si>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</si>
  <si>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</si>
  <si>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</si>
  <si>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</si>
  <si>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</si>
  <si>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</si>
  <si>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</si>
  <si>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</si>
  <si>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</si>
  <si>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</si>
  <si>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</si>
  <si>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</si>
  <si>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</si>
  <si>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</si>
  <si>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</si>
  <si>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</si>
  <si>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</si>
  <si>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</si>
  <si>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</si>
  <si>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</si>
  <si>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</si>
  <si>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</si>
  <si>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</si>
  <si>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</si>
  <si>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</si>
  <si>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</si>
  <si>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</si>
  <si>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</si>
  <si>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</si>
  <si>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</si>
  <si>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</si>
  <si>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</si>
  <si>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</si>
  <si>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</si>
  <si>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</si>
  <si>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</si>
  <si>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</si>
  <si>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</si>
  <si>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</si>
  <si>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</si>
  <si>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</si>
  <si>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</si>
  <si>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</si>
  <si>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</si>
  <si>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</si>
  <si>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</si>
  <si>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</si>
  <si>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</si>
  <si>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</si>
  <si>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</si>
  <si>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</si>
  <si>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</si>
  <si>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</si>
  <si>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</si>
  <si>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</si>
  <si>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</si>
  <si>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</si>
  <si>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</si>
  <si>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</si>
  <si>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</si>
  <si>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</si>
  <si>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</si>
  <si>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</si>
  <si>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</si>
  <si>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</si>
  <si>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</si>
  <si>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</si>
  <si>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</si>
  <si>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</si>
  <si>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</si>
  <si>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</si>
  <si>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</si>
  <si>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</si>
  <si>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</si>
  <si>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</si>
  <si>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</si>
  <si>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</si>
  <si>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</si>
  <si>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</si>
  <si>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</si>
  <si>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</si>
  <si>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</si>
  <si>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</si>
  <si>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</si>
  <si>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</si>
  <si>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</si>
  <si>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</si>
  <si>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</si>
  <si>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</si>
  <si>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</si>
  <si>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</si>
  <si>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</si>
  <si>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</si>
  <si>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</si>
  <si>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</si>
  <si>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</si>
  <si>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</si>
  <si>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</si>
  <si>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</si>
  <si>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</si>
  <si>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</si>
  <si>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</si>
  <si>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</si>
  <si>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</si>
  <si>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</si>
  <si>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</si>
  <si>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</si>
  <si>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</si>
  <si>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</si>
  <si>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</si>
  <si>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</si>
  <si>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</si>
  <si>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</si>
  <si>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</si>
  <si>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</si>
  <si>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</si>
  <si>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</si>
  <si>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</si>
  <si>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</si>
  <si>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</si>
  <si>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</si>
  <si>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</si>
  <si>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</si>
  <si>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</si>
  <si>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</si>
  <si>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</si>
  <si>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</si>
  <si>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</si>
  <si>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</si>
  <si>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</si>
  <si>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</si>
  <si>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</si>
  <si>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</si>
  <si>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</si>
  <si>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</si>
  <si>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</si>
  <si>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</si>
  <si>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</si>
  <si>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</si>
  <si>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</si>
  <si>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</si>
  <si>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</si>
  <si>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</si>
  <si>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</si>
  <si>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</si>
  <si>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</si>
  <si>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</si>
  <si>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</si>
  <si>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</si>
  <si>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</si>
  <si>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</si>
  <si>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</si>
  <si>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</si>
  <si>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</si>
  <si>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</si>
  <si>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</si>
  <si>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</si>
  <si>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</si>
  <si>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</si>
  <si>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</si>
  <si>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</si>
  <si>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</si>
  <si>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</si>
  <si>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</si>
  <si>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</si>
  <si>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</si>
  <si>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</si>
  <si>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</si>
  <si>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</si>
  <si>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</si>
  <si>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</si>
  <si>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</si>
  <si>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</si>
  <si>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</si>
  <si>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</si>
  <si>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</si>
  <si>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</si>
  <si>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</si>
  <si>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</si>
  <si>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</si>
  <si>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</si>
  <si>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</si>
  <si>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</si>
  <si>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</si>
  <si>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</si>
  <si>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</si>
  <si>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</si>
  <si>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</si>
  <si>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</si>
  <si>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</si>
  <si>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</si>
  <si>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</si>
  <si>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</si>
  <si>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</si>
  <si>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</si>
  <si>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</si>
  <si>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</si>
  <si>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</si>
  <si>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</si>
  <si>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</si>
  <si>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</si>
  <si>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</si>
  <si>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</si>
  <si>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</si>
  <si>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</si>
  <si>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</si>
  <si>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</si>
  <si>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</si>
  <si>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</si>
  <si>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</si>
  <si>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</si>
  <si>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</si>
  <si>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</si>
  <si>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</si>
  <si>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</si>
  <si>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</si>
  <si>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</si>
  <si>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</si>
  <si>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</si>
  <si>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</si>
  <si>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</si>
  <si>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</si>
  <si>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</si>
  <si>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</si>
  <si>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</si>
  <si>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</si>
  <si>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</si>
  <si>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</si>
  <si>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</si>
  <si>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</si>
  <si>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</si>
  <si>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</si>
  <si>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</si>
  <si>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</si>
  <si>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</si>
  <si>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</si>
  <si>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</si>
  <si>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</si>
  <si>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</si>
  <si>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</si>
  <si>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</si>
  <si>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</si>
  <si>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</si>
  <si>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</si>
  <si>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</si>
  <si>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</si>
  <si>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</si>
  <si>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</si>
  <si>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</si>
  <si>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</si>
  <si>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</si>
  <si>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</si>
  <si>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</si>
  <si>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</si>
  <si>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</si>
  <si>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</si>
  <si>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</si>
  <si>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</si>
  <si>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</si>
  <si>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</si>
  <si>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</si>
  <si>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</si>
  <si>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</si>
  <si>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</si>
  <si>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</si>
  <si>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</si>
  <si>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</si>
  <si>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</si>
  <si>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</si>
  <si>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</si>
  <si>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</si>
  <si>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</si>
  <si>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</si>
  <si>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</si>
  <si>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</si>
  <si>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</si>
  <si>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</si>
  <si>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</si>
  <si>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</si>
  <si>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</si>
  <si>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</si>
  <si>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</si>
  <si>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</si>
  <si>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</si>
  <si>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</si>
  <si>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</si>
  <si>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</si>
  <si>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</si>
  <si>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</si>
  <si>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</si>
  <si>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</si>
  <si>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</si>
  <si>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</si>
  <si>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</si>
  <si>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</si>
  <si>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</si>
  <si>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</si>
  <si>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</si>
  <si>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</si>
  <si>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</si>
  <si>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</si>
  <si>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</si>
  <si>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</si>
  <si>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</si>
  <si>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</si>
  <si>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</si>
  <si>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</si>
  <si>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</si>
  <si>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</si>
  <si>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</si>
  <si>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</si>
  <si>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</si>
  <si>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</si>
  <si>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</si>
  <si>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</si>
  <si>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</si>
  <si>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</si>
  <si>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</si>
  <si>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</si>
  <si>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</si>
  <si>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</si>
  <si>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</si>
  <si>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</si>
  <si>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</si>
  <si>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</si>
  <si>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</si>
  <si>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</si>
  <si>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</si>
  <si>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</si>
  <si>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</si>
  <si>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</si>
  <si>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</si>
  <si>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</si>
  <si>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</si>
  <si>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</si>
  <si>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</si>
  <si>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</si>
  <si>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</si>
  <si>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</si>
  <si>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</si>
  <si>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</si>
  <si>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</si>
  <si>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</si>
  <si>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</si>
  <si>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</si>
  <si>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</si>
  <si>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</si>
  <si>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</si>
  <si>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</si>
  <si>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</si>
  <si>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</si>
  <si>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</si>
  <si>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</si>
  <si>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</si>
  <si>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</si>
  <si>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</si>
  <si>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</si>
  <si>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</si>
  <si>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</si>
  <si>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</si>
  <si>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</si>
  <si>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</si>
  <si>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</si>
  <si>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</si>
  <si>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</si>
  <si>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</si>
  <si>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</si>
  <si>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</si>
  <si>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</si>
  <si>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</si>
  <si>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</si>
  <si>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</si>
  <si>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</si>
  <si>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</si>
  <si>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</si>
  <si>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</si>
  <si>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</si>
  <si>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</si>
  <si>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</si>
  <si>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</si>
  <si>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</si>
  <si>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</si>
  <si>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</si>
  <si>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</si>
  <si>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</si>
  <si>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</si>
  <si>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</si>
  <si>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</si>
  <si>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</si>
  <si>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</si>
  <si>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</si>
  <si>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</si>
  <si>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</si>
  <si>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</si>
  <si>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</si>
  <si>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</si>
  <si>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</si>
  <si>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</si>
  <si>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</si>
  <si>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</si>
  <si>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</si>
  <si>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</si>
  <si>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</si>
  <si>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</si>
  <si>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</si>
  <si>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</si>
  <si>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</si>
  <si>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</si>
  <si>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</si>
  <si>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</si>
  <si>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</si>
  <si>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</si>
  <si>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</si>
  <si>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</si>
  <si>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</si>
  <si>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</si>
  <si>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</si>
  <si>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</si>
  <si>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</si>
  <si>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</si>
  <si>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</si>
  <si>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</si>
  <si>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</si>
  <si>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</si>
  <si>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</si>
  <si>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</si>
  <si>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</si>
  <si>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</si>
  <si>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</si>
  <si>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</si>
  <si>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</si>
  <si>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</si>
  <si>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</si>
  <si>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</si>
  <si>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</si>
  <si>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</si>
  <si>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</si>
  <si>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</si>
  <si>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</si>
  <si>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</si>
  <si>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</si>
  <si>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</si>
  <si>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</si>
  <si>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</si>
  <si>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</si>
  <si>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</si>
  <si>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</si>
  <si>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</si>
  <si>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</si>
  <si>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</si>
  <si>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</si>
  <si>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</si>
  <si>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</si>
  <si>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</si>
  <si>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</si>
  <si>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</si>
  <si>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</si>
  <si>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</si>
  <si>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</si>
  <si>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</si>
  <si>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</si>
  <si>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</si>
  <si>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</si>
  <si>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</si>
  <si>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</si>
  <si>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</si>
  <si>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</si>
  <si>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</si>
  <si>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</si>
  <si>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</si>
  <si>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</si>
  <si>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</si>
  <si>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</si>
  <si>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</si>
  <si>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</si>
  <si>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</si>
  <si>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</si>
  <si>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</si>
  <si>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</si>
  <si>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</si>
  <si>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</si>
  <si>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</si>
  <si>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</si>
  <si>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</si>
  <si>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</si>
  <si>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</si>
  <si>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</si>
  <si>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</si>
  <si>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</si>
  <si>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</si>
  <si>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</si>
  <si>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</si>
  <si>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</si>
  <si>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</si>
  <si>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</si>
  <si>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</si>
  <si>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</si>
  <si>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</si>
  <si>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</si>
  <si>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</si>
  <si>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</si>
  <si>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</si>
  <si>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</si>
  <si>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</si>
  <si>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</si>
  <si>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</si>
  <si>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</si>
  <si>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</si>
  <si>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</si>
  <si>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</si>
  <si>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</si>
  <si>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</si>
  <si>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</si>
  <si>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</si>
  <si>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</si>
  <si>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</si>
  <si>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</si>
  <si>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</si>
  <si>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</si>
  <si>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</si>
  <si>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</si>
  <si>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</si>
  <si>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</si>
  <si>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</si>
  <si>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</si>
  <si>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</si>
  <si>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</si>
  <si>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</si>
  <si>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</si>
  <si>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</si>
  <si>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</si>
  <si>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</si>
  <si>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</si>
  <si>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</si>
  <si>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</si>
  <si>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</si>
  <si>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</si>
  <si>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</si>
  <si>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</si>
  <si>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</si>
  <si>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</si>
  <si>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</si>
  <si>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</si>
  <si>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</si>
  <si>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</si>
  <si>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</si>
  <si>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</si>
  <si>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</si>
  <si>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</si>
  <si>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</si>
  <si>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</si>
  <si>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</si>
  <si>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</si>
  <si>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</si>
  <si>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</si>
  <si>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</si>
  <si>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</si>
  <si>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</si>
  <si>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</si>
  <si>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</si>
  <si>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</si>
  <si>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</si>
  <si>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</si>
  <si>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</si>
  <si>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</si>
  <si>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</si>
  <si>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</si>
  <si>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</si>
  <si>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</si>
  <si>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</si>
  <si>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</si>
  <si>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</si>
  <si>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</si>
  <si>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</si>
  <si>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</si>
  <si>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</si>
  <si>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</si>
  <si>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</si>
  <si>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</si>
  <si>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</si>
  <si>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</si>
  <si>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</si>
  <si>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</si>
  <si>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</si>
  <si>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</si>
  <si>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</si>
  <si>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</si>
  <si>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</si>
  <si>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</si>
  <si>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</si>
  <si>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</si>
  <si>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</si>
  <si>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</si>
  <si>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</si>
  <si>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</si>
  <si>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</si>
  <si>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</si>
  <si>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</si>
  <si>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</si>
  <si>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</si>
  <si>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</si>
  <si>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</si>
  <si>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</si>
  <si>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</si>
  <si>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</si>
  <si>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</si>
  <si>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</si>
  <si>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</si>
  <si>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</si>
  <si>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</si>
  <si>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</si>
  <si>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</si>
  <si>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</si>
  <si>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</si>
  <si>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</si>
  <si>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</si>
  <si>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</si>
  <si>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</si>
  <si>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</si>
  <si>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</si>
  <si>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</si>
  <si>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</si>
  <si>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</si>
  <si>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</si>
  <si>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</si>
  <si>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</si>
  <si>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</si>
  <si>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</si>
  <si>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</si>
  <si>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</si>
  <si>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</si>
  <si>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</si>
  <si>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</si>
  <si>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</si>
  <si>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</si>
  <si>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</si>
  <si>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</si>
  <si>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</si>
  <si>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</si>
  <si>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</si>
  <si>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</si>
  <si>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</si>
  <si>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</si>
  <si>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</si>
  <si>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</si>
  <si>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</si>
  <si>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</si>
  <si>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</si>
  <si>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</si>
  <si>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</si>
  <si>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</si>
  <si>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</si>
  <si>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</si>
  <si>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</si>
  <si>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</si>
  <si>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</si>
  <si>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</si>
  <si>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</si>
  <si>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</si>
  <si>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</si>
  <si>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</si>
  <si>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</si>
  <si>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</si>
  <si>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</si>
  <si>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</si>
  <si>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</si>
  <si>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</si>
  <si>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</si>
  <si>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</si>
  <si>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</si>
  <si>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</si>
  <si>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</si>
  <si>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</si>
  <si>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</si>
  <si>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</si>
  <si>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</si>
  <si>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</si>
  <si>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</si>
  <si>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</si>
  <si>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</si>
  <si>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</si>
  <si>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</si>
  <si>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</si>
  <si>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</si>
  <si>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</si>
  <si>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</si>
  <si>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</si>
  <si>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</si>
  <si>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</si>
  <si>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</si>
  <si>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</si>
  <si>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</si>
  <si>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</si>
  <si>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</si>
  <si>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</si>
  <si>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</si>
  <si>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</si>
  <si>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</si>
  <si>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</si>
  <si>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</si>
  <si>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</si>
  <si>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</si>
  <si>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</si>
  <si>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</si>
  <si>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</si>
  <si>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</si>
  <si>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</si>
  <si>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</si>
  <si>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</si>
  <si>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</si>
  <si>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</si>
  <si>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</si>
  <si>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</si>
  <si>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</si>
  <si>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</si>
  <si>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</si>
  <si>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</si>
  <si>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</si>
  <si>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</si>
  <si>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</si>
  <si>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</si>
  <si>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</si>
  <si>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</si>
  <si>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</si>
  <si>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</si>
  <si>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</si>
  <si>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</si>
  <si>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</si>
  <si>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</si>
  <si>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</si>
  <si>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</si>
  <si>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</si>
  <si>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</si>
  <si>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</si>
  <si>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</si>
  <si>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</si>
  <si>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</si>
  <si>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</si>
  <si>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</si>
  <si>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</si>
  <si>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</si>
  <si>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</si>
  <si>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</si>
  <si>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</si>
  <si>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</si>
  <si>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</si>
  <si>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</si>
  <si>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</si>
  <si>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</si>
  <si>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</si>
  <si>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</si>
  <si>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</si>
  <si>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</si>
  <si>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</si>
  <si>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</si>
  <si>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</si>
  <si>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</si>
  <si>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</si>
  <si>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</si>
  <si>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</si>
  <si>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</si>
  <si>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</si>
  <si>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</si>
  <si>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</si>
  <si>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</si>
  <si>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</si>
  <si>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</si>
  <si>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</si>
  <si>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</si>
  <si>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</si>
  <si>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</si>
  <si>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</si>
  <si>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</si>
  <si>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</si>
  <si>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</si>
  <si>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</si>
  <si>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</si>
  <si>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</si>
  <si>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</si>
  <si>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</si>
  <si>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</si>
  <si>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</si>
  <si>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</si>
  <si>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</si>
  <si>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</si>
  <si>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</si>
  <si>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</si>
  <si>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</si>
  <si>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</si>
  <si>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</si>
  <si>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</si>
  <si>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</si>
  <si>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</si>
  <si>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</si>
  <si>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</si>
  <si>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</si>
  <si>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</si>
  <si>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</si>
  <si>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</si>
  <si>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</si>
  <si>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</si>
  <si>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</si>
  <si>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</si>
  <si>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</si>
  <si>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</si>
  <si>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</si>
  <si>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</si>
  <si>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</si>
  <si>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</si>
  <si>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</si>
  <si>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</si>
  <si>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</si>
  <si>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</si>
  <si>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</si>
  <si>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</si>
  <si>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</si>
  <si>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</si>
  <si>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</si>
  <si>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</si>
  <si>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</si>
  <si>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</si>
  <si>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</si>
  <si>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</si>
  <si>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</si>
  <si>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</si>
  <si>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</si>
  <si>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</si>
  <si>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</si>
  <si>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</si>
  <si>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</si>
  <si>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</si>
  <si>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</si>
  <si>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</si>
  <si>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</si>
  <si>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</si>
  <si>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</si>
  <si>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</si>
  <si>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</si>
  <si>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</si>
  <si>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</si>
  <si>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</si>
  <si>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</si>
  <si>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</si>
  <si>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</si>
  <si>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</si>
  <si>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</si>
  <si>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</si>
  <si>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</si>
  <si>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</si>
  <si>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</si>
  <si>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</si>
  <si>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</si>
  <si>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</si>
  <si>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</si>
  <si>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</si>
  <si>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</si>
  <si>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</si>
  <si>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</si>
  <si>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</si>
  <si>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</si>
  <si>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</si>
  <si>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</si>
  <si>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</si>
  <si>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</si>
  <si>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</si>
  <si>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</si>
  <si>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</si>
  <si>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</si>
  <si>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</si>
  <si>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</si>
  <si>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</si>
  <si>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</si>
  <si>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</si>
  <si>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</si>
  <si>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</si>
  <si>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</si>
  <si>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</si>
  <si>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</si>
  <si>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</si>
  <si>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</si>
  <si>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</si>
  <si>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</si>
  <si>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</si>
  <si>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</si>
  <si>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</si>
  <si>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</si>
  <si>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</si>
  <si>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</si>
  <si>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</si>
  <si>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</si>
  <si>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</si>
  <si>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</si>
  <si>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</si>
  <si>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</si>
  <si>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</si>
  <si>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</si>
  <si>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</si>
  <si>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</si>
  <si>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</si>
  <si>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</si>
  <si>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</si>
  <si>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</si>
  <si>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</si>
  <si>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</si>
  <si>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</si>
  <si>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</si>
  <si>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</si>
  <si>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</si>
  <si>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</si>
  <si>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</si>
  <si>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</si>
  <si>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</si>
  <si>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</si>
  <si>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</si>
  <si>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</si>
  <si>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</si>
  <si>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</si>
  <si>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</si>
  <si>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</si>
  <si>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</si>
  <si>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</si>
  <si>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</si>
  <si>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</si>
  <si>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</si>
  <si>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</si>
  <si>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</si>
  <si>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</si>
  <si>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</si>
  <si>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</si>
  <si>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</si>
  <si>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</si>
  <si>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</si>
  <si>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</si>
  <si>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</si>
  <si>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</si>
  <si>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</si>
  <si>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</si>
  <si>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</si>
  <si>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</si>
  <si>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</si>
  <si>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</si>
  <si>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</si>
  <si>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</si>
  <si>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</si>
  <si>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</si>
  <si>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</si>
  <si>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</si>
  <si>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</si>
  <si>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</si>
  <si>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</si>
  <si>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</si>
  <si>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</si>
  <si>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</si>
  <si>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</si>
  <si>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</si>
  <si>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</si>
  <si>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</si>
  <si>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</si>
  <si>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</si>
  <si>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</si>
  <si>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</si>
  <si>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</si>
  <si>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</si>
  <si>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</si>
  <si>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</si>
  <si>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</si>
  <si>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</si>
  <si>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</si>
  <si>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</si>
  <si>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</si>
  <si>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</si>
  <si>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</si>
  <si>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</si>
  <si>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</si>
  <si>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</si>
  <si>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</si>
  <si>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</si>
  <si>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</si>
  <si>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</si>
  <si>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</si>
  <si>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</si>
  <si>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</si>
  <si>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</si>
  <si>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</si>
  <si>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</si>
  <si>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</si>
  <si>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</si>
  <si>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</si>
  <si>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</si>
  <si>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</si>
  <si>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</si>
  <si>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</si>
  <si>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</si>
  <si>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</si>
  <si>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</si>
  <si>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</si>
  <si>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</si>
  <si>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</si>
  <si>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</si>
  <si>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</si>
  <si>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</si>
  <si>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</si>
  <si>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</si>
  <si>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</si>
  <si>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</si>
  <si>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</si>
  <si>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</si>
  <si>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</si>
  <si>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</si>
  <si>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</si>
  <si>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</si>
  <si>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</si>
  <si>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</si>
  <si>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</si>
  <si>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</si>
  <si>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</si>
  <si>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</si>
  <si>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</si>
  <si>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</si>
  <si>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</si>
  <si>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</si>
  <si>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</si>
  <si>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</si>
  <si>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</si>
  <si>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</si>
  <si>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</si>
  <si>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</si>
  <si>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</si>
  <si>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</si>
  <si>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</si>
  <si>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</si>
  <si>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</si>
  <si>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</si>
  <si>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</si>
  <si>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</si>
  <si>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</si>
  <si>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</si>
  <si>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</si>
  <si>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</si>
  <si>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</si>
  <si>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</si>
  <si>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</si>
  <si>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</si>
  <si>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</si>
  <si>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</si>
  <si>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</si>
  <si>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</si>
  <si>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</si>
  <si>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</si>
  <si>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</si>
  <si>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</si>
  <si>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</si>
  <si>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</si>
  <si>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</si>
  <si>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</si>
  <si>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</si>
  <si>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</si>
  <si>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</si>
  <si>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</si>
  <si>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</si>
  <si>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</si>
  <si>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</si>
  <si>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</si>
  <si>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</si>
  <si>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</si>
  <si>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</si>
  <si>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</si>
  <si>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</si>
  <si>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</si>
  <si>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</si>
  <si>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</si>
  <si>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</si>
  <si>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</si>
  <si>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</si>
  <si>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</si>
  <si>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</si>
  <si>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</si>
  <si>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</si>
  <si>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</si>
  <si>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</si>
  <si>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</si>
  <si>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</si>
  <si>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</si>
  <si>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</si>
  <si>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</si>
  <si>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</si>
  <si>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</si>
  <si>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</si>
  <si>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</si>
  <si>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</si>
  <si>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</si>
  <si>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</si>
  <si>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</si>
  <si>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</si>
  <si>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</si>
  <si>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</si>
  <si>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</si>
  <si>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</si>
  <si>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</si>
  <si>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</si>
  <si>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</si>
  <si>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</si>
  <si>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</si>
  <si>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</si>
  <si>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</si>
  <si>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</si>
  <si>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</si>
  <si>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</si>
  <si>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</si>
  <si>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</si>
  <si>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</si>
  <si>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</si>
  <si>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</si>
  <si>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</si>
  <si>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</si>
  <si>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</si>
  <si>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</si>
  <si>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</si>
  <si>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</si>
  <si>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</si>
  <si>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</si>
  <si>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</si>
  <si>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</si>
  <si>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</si>
  <si>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</si>
  <si>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</si>
  <si>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</si>
  <si>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</si>
  <si>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</si>
  <si>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</si>
  <si>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</si>
  <si>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</si>
  <si>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</si>
  <si>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</si>
  <si>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</si>
  <si>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</si>
  <si>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</si>
  <si>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</si>
  <si>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</si>
  <si>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</si>
  <si>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</si>
  <si>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</si>
  <si>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</si>
  <si>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</si>
  <si>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</si>
  <si>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</si>
  <si>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</si>
  <si>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</si>
  <si>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</si>
  <si>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</si>
  <si>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</si>
  <si>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</si>
  <si>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</si>
  <si>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</si>
  <si>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</si>
  <si>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</si>
  <si>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</si>
  <si>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</si>
  <si>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</si>
  <si>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</si>
  <si>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</si>
  <si>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</si>
  <si>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</si>
  <si>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</si>
  <si>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</si>
  <si>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</si>
  <si>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</si>
  <si>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</si>
  <si>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</si>
  <si>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</si>
  <si>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</si>
  <si>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</si>
  <si>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</si>
  <si>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</si>
  <si>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</si>
  <si>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</si>
  <si>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</si>
  <si>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</si>
  <si>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</si>
  <si>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</si>
  <si>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</si>
  <si>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</si>
  <si>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</si>
  <si>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</si>
  <si>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</si>
  <si>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</si>
  <si>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</si>
  <si>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</si>
  <si>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</si>
  <si>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</si>
  <si>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</si>
  <si>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</si>
  <si>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</si>
  <si>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</si>
  <si>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</si>
  <si>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</si>
  <si>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</si>
  <si>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</si>
  <si>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</si>
  <si>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</si>
  <si>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</si>
  <si>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</si>
  <si>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</si>
  <si>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</si>
  <si>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</si>
  <si>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</si>
  <si>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</si>
  <si>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</si>
  <si>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</si>
  <si>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</si>
  <si>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</si>
  <si>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</si>
  <si>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</si>
  <si>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</si>
  <si>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</si>
  <si>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</si>
  <si>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</si>
  <si>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</si>
  <si>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</si>
  <si>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</si>
  <si>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</si>
  <si>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</si>
  <si>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</si>
  <si>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</si>
  <si>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</si>
  <si>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</si>
  <si>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</si>
  <si>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</si>
  <si>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</si>
  <si>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</si>
  <si>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</si>
  <si>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</si>
  <si>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</si>
  <si>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</si>
  <si>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</si>
  <si>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</si>
  <si>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</si>
  <si>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</si>
  <si>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</si>
  <si>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</si>
  <si>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</si>
  <si>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</si>
  <si>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</si>
  <si>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</si>
  <si>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</si>
  <si>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</si>
  <si>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</si>
  <si>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</si>
  <si>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</si>
  <si>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</si>
  <si>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</si>
  <si>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</si>
  <si>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</si>
  <si>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</si>
  <si>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</si>
  <si>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</si>
  <si>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</si>
  <si>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</si>
  <si>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</si>
  <si>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</si>
  <si>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</si>
  <si>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</si>
  <si>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</si>
  <si>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</si>
  <si>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</si>
  <si>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</si>
  <si>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</si>
  <si>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</si>
  <si>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</si>
  <si>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</si>
  <si>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</si>
  <si>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</si>
  <si>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</si>
  <si>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</si>
  <si>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</si>
  <si>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</si>
  <si>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</si>
  <si>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</si>
  <si>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</si>
  <si>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</si>
  <si>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</si>
  <si>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</si>
  <si>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</si>
  <si>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</si>
  <si>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</si>
  <si>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</si>
  <si>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</si>
  <si>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</si>
  <si>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</si>
  <si>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</si>
  <si>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</si>
  <si>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</si>
  <si>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</si>
  <si>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</si>
  <si>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</si>
  <si>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</si>
  <si>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</si>
  <si>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</si>
  <si>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</si>
  <si>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</si>
  <si>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</si>
  <si>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</si>
  <si>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</si>
  <si>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</si>
  <si>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</si>
  <si>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</si>
  <si>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</si>
  <si>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</si>
  <si>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</si>
  <si>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</si>
  <si>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</si>
  <si>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</si>
  <si>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</si>
  <si>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</si>
  <si>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</si>
  <si>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</si>
  <si>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</si>
  <si>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</si>
  <si>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</si>
  <si>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</si>
  <si>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</si>
  <si>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</si>
  <si>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</si>
  <si>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</si>
  <si>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</si>
  <si>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</si>
  <si>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</si>
  <si>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</si>
  <si>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</si>
  <si>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</si>
  <si>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</si>
  <si>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</si>
  <si>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</si>
  <si>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</si>
  <si>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</si>
  <si>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</si>
  <si>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</si>
  <si>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</si>
  <si>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</si>
  <si>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</si>
  <si>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</si>
  <si>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</si>
  <si>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</si>
  <si>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</si>
  <si>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</si>
  <si>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</si>
  <si>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</si>
  <si>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</si>
  <si>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</si>
  <si>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</si>
  <si>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</si>
  <si>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</si>
  <si>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</si>
  <si>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</si>
  <si>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</si>
  <si>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</si>
  <si>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</si>
  <si>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</si>
  <si>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</si>
  <si>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</si>
  <si>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</si>
  <si>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</si>
  <si>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</si>
  <si>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</si>
  <si>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</si>
  <si>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</si>
  <si>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</si>
  <si>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</si>
  <si>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</si>
  <si>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</si>
  <si>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</si>
  <si>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</si>
  <si>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</si>
  <si>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</si>
  <si>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</si>
  <si>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</si>
  <si>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</si>
  <si>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</si>
  <si>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</si>
  <si>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</si>
  <si>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</si>
  <si>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</si>
  <si>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</si>
  <si>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</si>
  <si>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</si>
  <si>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</si>
  <si>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</si>
  <si>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</si>
  <si>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</si>
  <si>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</si>
  <si>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</si>
  <si>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</si>
  <si>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</si>
  <si>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</si>
  <si>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</si>
  <si>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</si>
  <si>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</si>
  <si>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</si>
  <si>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</si>
  <si>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</si>
  <si>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</si>
  <si>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</si>
  <si>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</si>
  <si>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</si>
  <si>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</si>
  <si>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</si>
  <si>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</si>
  <si>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</si>
  <si>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</si>
  <si>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</si>
  <si>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</si>
  <si>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</si>
  <si>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</si>
  <si>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</si>
  <si>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</si>
  <si>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</si>
  <si>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</si>
  <si>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</si>
  <si>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</si>
  <si>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</si>
  <si>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</si>
  <si>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</si>
  <si>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</si>
  <si>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</si>
  <si>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</si>
  <si>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</si>
  <si>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</si>
  <si>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</si>
  <si>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</si>
  <si>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</si>
  <si>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</si>
  <si>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</si>
  <si>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</si>
  <si>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</si>
  <si>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</si>
  <si>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</si>
  <si>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</si>
  <si>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</si>
  <si>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</si>
  <si>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</si>
  <si>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</si>
  <si>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</si>
  <si>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</si>
  <si>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</si>
  <si>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</si>
  <si>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</si>
  <si>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</si>
  <si>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</si>
  <si>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</si>
  <si>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</si>
  <si>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</si>
  <si>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</si>
  <si>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</si>
  <si>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</si>
  <si>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</si>
  <si>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</si>
  <si>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</si>
  <si>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</si>
  <si>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</si>
  <si>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</si>
  <si>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</si>
  <si>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</si>
  <si>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</si>
  <si>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</si>
  <si>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</si>
  <si>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</si>
  <si>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</si>
  <si>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</si>
  <si>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</si>
  <si>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</si>
  <si>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</si>
  <si>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</si>
  <si>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</si>
  <si>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</si>
  <si>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</si>
  <si>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</si>
  <si>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</si>
  <si>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</si>
  <si>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</si>
  <si>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</si>
  <si>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</si>
  <si>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</si>
  <si>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</si>
  <si>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</si>
  <si>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</si>
  <si>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</si>
  <si>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</si>
  <si>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</si>
  <si>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</si>
  <si>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</si>
  <si>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</si>
  <si>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</si>
  <si>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</si>
  <si>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</si>
  <si>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</si>
  <si>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</si>
  <si>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</si>
  <si>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</si>
  <si>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</si>
  <si>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</si>
  <si>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</si>
  <si>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</si>
  <si>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</si>
  <si>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</si>
  <si>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</si>
  <si>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</si>
  <si>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</si>
  <si>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</si>
  <si>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</si>
  <si>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</si>
  <si>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</si>
  <si>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</si>
  <si>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</si>
  <si>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</si>
  <si>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</si>
  <si>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</si>
  <si>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</si>
  <si>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</si>
  <si>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</si>
  <si>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</si>
  <si>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</si>
  <si>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</si>
  <si>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</si>
  <si>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</si>
  <si>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</si>
  <si>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</si>
  <si>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</si>
  <si>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</si>
  <si>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</si>
  <si>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</si>
  <si>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</si>
  <si>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</si>
  <si>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</si>
  <si>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</si>
  <si>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</si>
  <si>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</si>
  <si>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</si>
  <si>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</si>
  <si>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</si>
  <si>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</si>
  <si>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</si>
  <si>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</si>
  <si>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</si>
  <si>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</si>
  <si>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</si>
  <si>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</si>
  <si>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</si>
  <si>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</si>
  <si>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</si>
  <si>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</si>
  <si>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</si>
  <si>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</si>
  <si>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</si>
  <si>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</si>
  <si>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</si>
  <si>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</si>
  <si>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</si>
  <si>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</si>
  <si>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</si>
  <si>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</si>
  <si>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</si>
  <si>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</si>
  <si>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</si>
  <si>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</si>
  <si>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</si>
  <si>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</si>
  <si>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</si>
  <si>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</si>
  <si>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</si>
  <si>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</si>
  <si>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</si>
  <si>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</si>
  <si>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</si>
  <si>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</si>
  <si>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</si>
  <si>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</si>
  <si>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</si>
  <si>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</si>
  <si>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</si>
  <si>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</si>
  <si>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</si>
  <si>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</si>
  <si>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</si>
  <si>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</si>
  <si>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</si>
  <si>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</si>
  <si>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</si>
  <si>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</si>
  <si>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</si>
  <si>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</si>
  <si>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</si>
  <si>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</si>
  <si>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</si>
  <si>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</si>
  <si>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</si>
  <si>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</si>
  <si>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</si>
  <si>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</si>
  <si>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</si>
  <si>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</si>
  <si>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</si>
  <si>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</si>
  <si>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</si>
  <si>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</si>
  <si>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</si>
  <si>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</si>
  <si>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</si>
  <si>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</si>
  <si>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</si>
  <si>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</si>
  <si>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</si>
  <si>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</si>
  <si>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</si>
  <si>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</si>
  <si>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</si>
  <si>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</si>
  <si>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</si>
  <si>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</si>
  <si>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</si>
  <si>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</si>
  <si>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</si>
  <si>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</si>
  <si>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</si>
  <si>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</si>
  <si>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</si>
  <si>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</si>
  <si>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</si>
  <si>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</si>
  <si>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</si>
  <si>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</si>
  <si>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</si>
  <si>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</si>
  <si>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</si>
  <si>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</si>
  <si>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</si>
  <si>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</si>
  <si>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</si>
  <si>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</si>
  <si>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</si>
  <si>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</si>
  <si>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</si>
  <si>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</si>
  <si>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</si>
  <si>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</si>
  <si>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</si>
  <si>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</si>
  <si>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</si>
  <si>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</si>
  <si>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</si>
  <si>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</si>
  <si>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</si>
  <si>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</si>
  <si>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</si>
  <si>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</si>
  <si>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</si>
  <si>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</si>
  <si>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</si>
  <si>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</si>
  <si>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</si>
  <si>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</si>
  <si>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</si>
  <si>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</si>
  <si>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</si>
  <si>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</si>
  <si>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</si>
  <si>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</si>
  <si>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</si>
  <si>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</si>
  <si>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</si>
  <si>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</si>
  <si>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</si>
  <si>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</si>
  <si>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</si>
  <si>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</si>
  <si>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</si>
  <si>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</si>
  <si>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</si>
  <si>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</si>
  <si>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</si>
  <si>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</si>
  <si>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</si>
  <si>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</si>
  <si>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</si>
  <si>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</si>
  <si>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</si>
  <si>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</si>
  <si>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</si>
  <si>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</si>
  <si>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</si>
  <si>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</si>
  <si>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</si>
  <si>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</si>
  <si>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</si>
  <si>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</si>
  <si>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</si>
  <si>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</si>
  <si>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</si>
  <si>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</si>
  <si>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</si>
  <si>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</si>
  <si>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</si>
  <si>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</si>
  <si>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</si>
  <si>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</si>
  <si>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</si>
  <si>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</si>
  <si>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</si>
  <si>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</si>
  <si>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</si>
  <si>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</si>
  <si>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</si>
  <si>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</si>
  <si>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</si>
  <si>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</si>
  <si>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</si>
  <si>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</si>
  <si>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</si>
  <si>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</si>
  <si>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</si>
  <si>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</si>
  <si>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</si>
  <si>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</si>
  <si>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</si>
  <si>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</si>
  <si>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</si>
  <si>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</si>
  <si>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</si>
  <si>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</si>
  <si>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</si>
  <si>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</si>
  <si>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</si>
  <si>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</si>
  <si>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</si>
  <si>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</si>
  <si>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</si>
  <si>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</si>
  <si>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</si>
  <si>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</si>
  <si>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</si>
  <si>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</si>
  <si>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</si>
  <si>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</si>
  <si>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</si>
  <si>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</si>
  <si>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</si>
  <si>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</si>
  <si>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</si>
  <si>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</si>
  <si>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</si>
  <si>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</si>
  <si>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</si>
  <si>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</si>
  <si>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</si>
  <si>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</si>
  <si>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</si>
  <si>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</si>
  <si>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</si>
  <si>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</si>
  <si>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</si>
  <si>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</si>
  <si>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</si>
  <si>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</si>
  <si>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</si>
  <si>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</si>
  <si>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</si>
  <si>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</si>
  <si>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</si>
  <si>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</si>
  <si>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</si>
  <si>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</si>
  <si>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</si>
  <si>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</si>
  <si>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</si>
  <si>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</si>
  <si>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</si>
  <si>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</si>
  <si>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</si>
  <si>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</si>
  <si>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</si>
  <si>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</si>
  <si>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</si>
  <si>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</si>
  <si>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</si>
  <si>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</si>
  <si>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</si>
  <si>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</si>
  <si>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</si>
  <si>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</si>
  <si>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</si>
  <si>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</si>
  <si>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</si>
  <si>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</si>
  <si>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</si>
  <si>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</si>
  <si>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</si>
  <si>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</si>
  <si>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</si>
  <si>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</si>
  <si>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</si>
  <si>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</si>
  <si>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</si>
  <si>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</si>
  <si>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</si>
  <si>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</si>
  <si>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</si>
  <si>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</si>
  <si>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</si>
  <si>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</si>
  <si>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</si>
  <si>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</si>
  <si>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</si>
  <si>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</si>
  <si>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</si>
  <si>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</si>
  <si>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</si>
  <si>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</si>
  <si>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</si>
  <si>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</si>
  <si>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</si>
  <si>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</si>
  <si>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</si>
  <si>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</si>
  <si>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</si>
  <si>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</si>
  <si>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</si>
  <si>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</si>
  <si>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</si>
  <si>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</si>
  <si>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</si>
  <si>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</si>
  <si>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</si>
  <si>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</si>
  <si>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</si>
  <si>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</si>
  <si>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</si>
  <si>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</si>
  <si>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</si>
  <si>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</si>
  <si>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</si>
  <si>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</si>
  <si>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</si>
  <si>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</si>
  <si>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</si>
  <si>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</si>
  <si>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</si>
  <si>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</si>
  <si>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</si>
  <si>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</si>
  <si>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</si>
  <si>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</si>
  <si>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</si>
  <si>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</si>
  <si>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</si>
  <si>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</si>
  <si>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</si>
  <si>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</si>
  <si>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</si>
  <si>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</si>
  <si>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</si>
  <si>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</si>
  <si>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</si>
  <si>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</si>
  <si>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</si>
  <si>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</si>
  <si>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</si>
  <si>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</si>
  <si>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</si>
  <si>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</si>
  <si>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</si>
  <si>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</si>
  <si>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</si>
  <si>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</si>
  <si>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</si>
  <si>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</si>
  <si>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</si>
  <si>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</si>
  <si>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</si>
  <si>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</si>
  <si>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</si>
  <si>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</si>
  <si>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</si>
  <si>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</si>
  <si>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</si>
  <si>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</si>
  <si>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</si>
  <si>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</si>
  <si>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</si>
  <si>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</si>
  <si>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</si>
  <si>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</si>
  <si>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</si>
  <si>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</si>
  <si>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</si>
  <si>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</si>
  <si>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</si>
  <si>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</si>
  <si>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</si>
  <si>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</si>
  <si>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</si>
  <si>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</si>
  <si>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</si>
  <si>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</si>
  <si>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</si>
  <si>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</si>
  <si>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</si>
  <si>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</si>
  <si>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</si>
  <si>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</si>
  <si>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</si>
  <si>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</si>
  <si>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</si>
  <si>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</si>
  <si>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</si>
  <si>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</si>
  <si>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</si>
  <si>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</si>
  <si>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</si>
  <si>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</si>
  <si>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</si>
  <si>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</si>
  <si>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</si>
  <si>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</si>
  <si>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</si>
  <si>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</si>
  <si>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</si>
  <si>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</si>
  <si>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</si>
  <si>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</si>
  <si>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</si>
  <si>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</si>
  <si>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</si>
  <si>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</si>
  <si>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</si>
  <si>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</si>
  <si>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</si>
  <si>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</si>
  <si>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</si>
  <si>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</si>
  <si>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</si>
  <si>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</si>
  <si>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</si>
  <si>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</si>
  <si>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</si>
  <si>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</si>
  <si>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</si>
  <si>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</si>
  <si>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</si>
  <si>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</si>
  <si>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</si>
  <si>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</si>
  <si>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</si>
  <si>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</si>
  <si>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</si>
  <si>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</si>
  <si>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</si>
  <si>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</si>
  <si>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</si>
  <si>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</si>
  <si>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</si>
  <si>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</si>
  <si>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</si>
  <si>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</si>
  <si>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</si>
  <si>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</si>
  <si>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</si>
  <si>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</si>
  <si>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</si>
  <si>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</si>
  <si>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</si>
  <si>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</si>
  <si>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</si>
  <si>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</si>
  <si>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</si>
  <si>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</si>
  <si>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</si>
  <si>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</si>
  <si>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</si>
  <si>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</si>
  <si>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</si>
  <si>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</si>
  <si>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</si>
  <si>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</si>
  <si>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</si>
  <si>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</si>
  <si>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</si>
  <si>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</si>
  <si>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</si>
  <si>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</si>
  <si>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</si>
  <si>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</si>
  <si>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</si>
  <si>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</si>
  <si>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</si>
  <si>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</si>
  <si>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</si>
  <si>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</si>
  <si>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</si>
  <si>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</si>
  <si>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</si>
  <si>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</si>
  <si>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</si>
  <si>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</si>
  <si>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</si>
  <si>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</si>
  <si>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</si>
  <si>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</si>
  <si>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</si>
  <si>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</si>
  <si>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</si>
  <si>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</si>
  <si>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</si>
  <si>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</si>
  <si>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</si>
  <si>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</si>
  <si>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</si>
  <si>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</si>
  <si>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</si>
  <si>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</si>
  <si>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</si>
  <si>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</si>
  <si>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</si>
  <si>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</si>
  <si>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</si>
  <si>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</si>
  <si>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</si>
  <si>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</si>
  <si>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</si>
  <si>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</si>
  <si>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</si>
  <si>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</si>
  <si>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</si>
  <si>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</si>
  <si>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</si>
  <si>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</si>
  <si>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</si>
  <si>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</si>
  <si>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</si>
  <si>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</si>
  <si>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</si>
  <si>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</si>
  <si>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</si>
  <si>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</si>
  <si>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</si>
  <si>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</si>
  <si>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</si>
  <si>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</si>
  <si>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</si>
  <si>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</si>
  <si>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</si>
  <si>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</si>
  <si>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</si>
  <si>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</si>
  <si>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</si>
  <si>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</si>
  <si>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</si>
  <si>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</si>
  <si>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</si>
  <si>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</si>
  <si>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</si>
  <si>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</si>
  <si>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</si>
  <si>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</si>
  <si>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</si>
  <si>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</si>
  <si>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</si>
  <si>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</si>
  <si>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</si>
  <si>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</si>
  <si>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</si>
  <si>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</si>
  <si>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</si>
  <si>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</si>
  <si>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</si>
  <si>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</si>
  <si>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</si>
  <si>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</si>
  <si>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</si>
  <si>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</si>
  <si>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</si>
  <si>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</si>
  <si>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</si>
  <si>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</si>
  <si>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</si>
  <si>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</si>
  <si>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</si>
  <si>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</si>
  <si>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</si>
  <si>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</si>
  <si>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</si>
  <si>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</si>
  <si>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</si>
  <si>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</si>
  <si>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</si>
  <si>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</si>
  <si>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</si>
  <si>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</si>
  <si>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</si>
  <si>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</si>
  <si>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</si>
  <si>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</si>
  <si>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</si>
  <si>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</si>
  <si>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</si>
  <si>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</si>
  <si>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</si>
  <si>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</si>
  <si>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</si>
  <si>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</si>
  <si>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</si>
  <si>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</si>
  <si>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</si>
  <si>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</si>
  <si>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</si>
  <si>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</si>
  <si>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</si>
  <si>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</si>
  <si>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</si>
  <si>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</si>
  <si>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</si>
  <si>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</si>
  <si>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</si>
  <si>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</si>
  <si>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</si>
  <si>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</si>
  <si>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</si>
  <si>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企业</t>
  </si>
  <si>
    <t>Ⅹ-平1</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</si>
  <si>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</si>
  <si>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</si>
  <si>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t>是</t>
  </si>
  <si>
    <t>地上</t>
  </si>
  <si>
    <t>工业</t>
    <phoneticPr fontId="8" type="noConversion"/>
  </si>
  <si>
    <t>成新度</t>
  </si>
  <si>
    <t>收益法</t>
  </si>
  <si>
    <t>与级别开发程度一致</t>
  </si>
  <si>
    <t>较好</t>
  </si>
  <si>
    <t>一般</t>
  </si>
  <si>
    <t>未包含在土地购买价格中</t>
  </si>
  <si>
    <t>全部缴纳</t>
  </si>
  <si>
    <t>已包含在土地取得成本中</t>
  </si>
  <si>
    <t>成本法</t>
  </si>
  <si>
    <t>押一</t>
  </si>
  <si>
    <t>钢混</t>
  </si>
  <si>
    <t>非生产用房</t>
  </si>
  <si>
    <t>否</t>
  </si>
  <si>
    <t>自定义容积率</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</si>
  <si>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</si>
  <si>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</si>
  <si>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</si>
  <si>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</si>
  <si>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</si>
  <si>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</si>
  <si>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</si>
  <si>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</si>
  <si>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</si>
  <si>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</si>
  <si>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</si>
  <si>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</si>
  <si>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</si>
  <si>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</si>
  <si>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</si>
  <si>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</si>
  <si>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</si>
  <si>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</si>
  <si>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</si>
  <si>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</si>
  <si>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</si>
  <si>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</si>
  <si>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</si>
  <si>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</si>
  <si>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</si>
  <si>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</si>
  <si>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</si>
  <si>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</si>
  <si>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</si>
  <si>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</si>
  <si>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</si>
  <si>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</si>
  <si>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</si>
  <si>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</si>
  <si>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</si>
  <si>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</si>
  <si>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</si>
  <si>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</si>
  <si>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</si>
  <si>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</si>
  <si>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</si>
  <si>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</si>
  <si>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</si>
  <si>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</si>
  <si>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</si>
  <si>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</si>
  <si>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</si>
  <si>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</si>
  <si>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</si>
  <si>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</si>
  <si>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</si>
  <si>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</si>
  <si>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</si>
  <si>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</si>
  <si>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</si>
  <si>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</si>
  <si>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</si>
  <si>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</si>
  <si>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</si>
  <si>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</si>
  <si>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</si>
  <si>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</si>
  <si>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</si>
  <si>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</si>
  <si>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</si>
  <si>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</si>
  <si>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</si>
  <si>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</si>
  <si>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</si>
  <si>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</si>
  <si>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</si>
  <si>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</si>
  <si>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</si>
  <si>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</si>
  <si>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</si>
  <si>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</si>
  <si>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</si>
  <si>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</si>
  <si>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</si>
  <si>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</si>
  <si>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</si>
  <si>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</si>
  <si>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</si>
  <si>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</si>
  <si>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</si>
  <si>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</si>
  <si>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</si>
  <si>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</si>
  <si>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</si>
  <si>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</si>
  <si>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总价</t>
  </si>
  <si>
    <t>成本比率</t>
  </si>
  <si>
    <t>淼森股份有限公司</t>
    <phoneticPr fontId="135" type="noConversion"/>
  </si>
  <si>
    <r>
      <rPr>
        <sz val="11"/>
        <color theme="1"/>
        <rFont val="宋体"/>
        <family val="3"/>
        <charset val="134"/>
        <scheme val="minor"/>
      </rPr>
      <t>2-1</t>
    </r>
    <phoneticPr fontId="135" type="noConversion"/>
  </si>
  <si>
    <r>
      <rPr>
        <sz val="11"/>
        <color theme="1"/>
        <rFont val="宋体"/>
        <family val="3"/>
        <charset val="134"/>
        <scheme val="minor"/>
      </rPr>
      <t>2-2</t>
    </r>
    <r>
      <rPr>
        <sz val="11"/>
        <color theme="1"/>
        <rFont val="宋体"/>
        <family val="2"/>
        <scheme val="minor"/>
      </rPr>
      <t/>
    </r>
  </si>
  <si>
    <r>
      <rPr>
        <sz val="11"/>
        <color theme="1"/>
        <rFont val="宋体"/>
        <family val="3"/>
        <charset val="134"/>
        <scheme val="minor"/>
      </rPr>
      <t>2-3</t>
    </r>
    <r>
      <rPr>
        <sz val="11"/>
        <color theme="1"/>
        <rFont val="宋体"/>
        <family val="2"/>
        <scheme val="minor"/>
      </rPr>
      <t/>
    </r>
  </si>
  <si>
    <r>
      <rPr>
        <sz val="11"/>
        <color theme="1"/>
        <rFont val="宋体"/>
        <family val="3"/>
        <charset val="134"/>
        <scheme val="minor"/>
      </rPr>
      <t>2-4</t>
    </r>
    <r>
      <rPr>
        <sz val="11"/>
        <color theme="1"/>
        <rFont val="宋体"/>
        <family val="2"/>
        <scheme val="minor"/>
      </rPr>
      <t/>
    </r>
  </si>
  <si>
    <t>客户名称</t>
    <phoneticPr fontId="135" type="noConversion"/>
  </si>
  <si>
    <t>位置</t>
    <phoneticPr fontId="135" type="noConversion"/>
  </si>
  <si>
    <t>起始日</t>
    <phoneticPr fontId="135" type="noConversion"/>
  </si>
  <si>
    <t>到期日</t>
    <phoneticPr fontId="135" type="noConversion"/>
  </si>
  <si>
    <t>年限</t>
    <phoneticPr fontId="135" type="noConversion"/>
  </si>
  <si>
    <t>小黍有泰(北京)生物科技有限公司</t>
    <phoneticPr fontId="135" type="noConversion"/>
  </si>
  <si>
    <t>中革工易(北京)量子科技有限公司</t>
    <phoneticPr fontId="135" type="noConversion"/>
  </si>
  <si>
    <t>圣尼斯种子(北京)有限公司</t>
    <phoneticPr fontId="135" type="noConversion"/>
  </si>
  <si>
    <t>北京中科创诺科技有限公司</t>
    <phoneticPr fontId="135" type="noConversion"/>
  </si>
  <si>
    <t>1-1</t>
    <phoneticPr fontId="135" type="noConversion"/>
  </si>
  <si>
    <t>1-2</t>
  </si>
  <si>
    <t>1-3</t>
  </si>
  <si>
    <t>1-4</t>
  </si>
  <si>
    <t>第1年租金</t>
    <phoneticPr fontId="135" type="noConversion"/>
  </si>
  <si>
    <t>第2年租金</t>
  </si>
  <si>
    <t>第3年租金</t>
  </si>
  <si>
    <t>第4年租金</t>
  </si>
  <si>
    <t>第5年租金</t>
  </si>
  <si>
    <t>价值时点</t>
    <phoneticPr fontId="135" type="noConversion"/>
  </si>
  <si>
    <t>剩余租赁期</t>
  </si>
  <si>
    <t>平均日租金</t>
  </si>
  <si>
    <t>收益期内总收益</t>
  </si>
  <si>
    <t>估价对象总面积</t>
  </si>
  <si>
    <t>市调租金</t>
  </si>
  <si>
    <t>市调增长率</t>
  </si>
  <si>
    <t>租期结束后日租金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</si>
</sst>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0" xfId="10" applyFont="1" applyAlignment="1">
      <alignment horizontal="left" vertical="center"/>
    </xf>
    <xf numFmtId="14" fontId="272" fillId="0" borderId="0" xfId="10" applyNumberFormat="1" applyFont="1" applyAlignment="1">
      <alignment horizontal="left" vertical="center"/>
    </xf>
    <xf numFmtId="0" fontId="272" fillId="9" borderId="0" xfId="10" applyFont="1" applyFill="1" applyAlignment="1">
      <alignment horizontal="left" vertical="center"/>
    </xf>
    <xf numFmtId="14" fontId="272" fillId="9" borderId="0" xfId="10" applyNumberFormat="1" applyFont="1" applyFill="1" applyAlignment="1">
      <alignment horizontal="left" vertical="center"/>
    </xf>
    <xf numFmtId="0" fontId="20" fillId="7" borderId="1" xfId="4" applyFont="1" applyFill="1" applyBorder="1" applyAlignment="1">
      <alignment horizontal="left" vertical="center"/>
    </xf>
    <xf numFmtId="0" fontId="20" fillId="0" borderId="1" xfId="4" applyFont="1" applyBorder="1" applyAlignment="1">
      <alignment horizontal="left" vertical="center"/>
    </xf>
    <xf numFmtId="14" fontId="0" fillId="0" borderId="0" xfId="0" applyNumberFormat="1" applyAlignment="1">
      <alignment horizontal="left" vertical="center"/>
    </xf>
    <xf numFmtId="14" fontId="96" fillId="0" borderId="0" xfId="0" applyNumberFormat="1" applyFont="1" applyAlignment="1">
      <alignment horizontal="left" vertical="center"/>
    </xf>
    <xf numFmtId="58" fontId="96" fillId="0" borderId="0" xfId="0" quotePrefix="1" applyNumberFormat="1" applyFont="1" applyAlignment="1">
      <alignment horizontal="left" vertical="center"/>
    </xf>
    <xf numFmtId="10" fontId="20" fillId="0" borderId="1" xfId="4" applyNumberFormat="1"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48" fillId="0" borderId="1" xfId="0" applyFont="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id="{1C8D4E77-66E6-459B-BE4F-B61429CF1657}"/>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id="{E9A55347-A0C8-473E-8C04-6F71D3B87FD2}"/>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id="{93563E63-10D5-41CB-B8F2-D9554943A790}"/>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id="{C6A16694-6A75-496E-BAA7-D5ED5AD434DD}"/>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id="{EF16E994-0CA9-4105-9ED2-163BC87199F7}"/>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id="{F7E6E573-116E-4D2B-9654-40ABCF71808D}"/>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id="{406BE615-0E54-490A-832D-6417D639D3DD}"/>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id="{7C1FACF6-B3F4-44B3-AAB3-FAC0C96D7A8B}"/>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id="{7FFFB9DF-1861-44AE-A510-7D10D982022C}"/>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id="{9F18E85D-A2B2-4EDD-9EC5-9F8933904FD4}"/>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id="{459313F4-FB39-4FB5-A246-D276EEEA691D}"/>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7983;&#35272;&#22120;&#19979;&#36733;\2024-1-0484-P01-&#24179;&#35895;&#32852;&#19996;U&#35895;-&#29579;&#28165;&#38597;20240612-134742.xlsx" TargetMode="External"/><Relationship Id="rId1" Type="http://schemas.openxmlformats.org/officeDocument/2006/relationships/externalLinkPath" Target="file:///E:\&#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8">
          <cell r="C18">
            <v>1.4649000000000001</v>
          </cell>
        </row>
      </sheetData>
      <sheetData sheetId="11"/>
      <sheetData sheetId="12"/>
      <sheetData sheetId="13">
        <row r="17">
          <cell r="C17" t="str">
            <v>项目类型</v>
          </cell>
        </row>
        <row r="18">
          <cell r="C18"/>
        </row>
        <row r="19">
          <cell r="C19" t="str">
            <v>1-3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0">
          <cell r="B70" t="str">
            <v>用途</v>
          </cell>
          <cell r="C70" t="str">
            <v>工业</v>
          </cell>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t="str">
            <v>较规则</v>
          </cell>
          <cell r="D110"/>
          <cell r="E110"/>
          <cell r="F110"/>
          <cell r="G110"/>
          <cell r="H110"/>
          <cell r="I110"/>
          <cell r="J110"/>
          <cell r="K110"/>
          <cell r="L110"/>
          <cell r="M110"/>
        </row>
        <row r="112">
          <cell r="B112" t="str">
            <v>宗地开发程度</v>
          </cell>
          <cell r="C112" t="str">
            <v>六通</v>
          </cell>
          <cell r="D112" t="str">
            <v>五通</v>
          </cell>
          <cell r="E112" t="str">
            <v>四通</v>
          </cell>
          <cell r="F112"/>
          <cell r="G112"/>
          <cell r="H112"/>
          <cell r="I112"/>
          <cell r="J112"/>
          <cell r="K112"/>
          <cell r="L112"/>
          <cell r="M112"/>
        </row>
        <row r="114">
          <cell r="B114" t="str">
            <v>工程地质条件</v>
          </cell>
          <cell r="C114" t="str">
            <v>较好</v>
          </cell>
          <cell r="D114"/>
          <cell r="E114"/>
          <cell r="F114"/>
          <cell r="G114"/>
          <cell r="H114"/>
          <cell r="I114"/>
          <cell r="J114"/>
          <cell r="K114"/>
          <cell r="L114"/>
          <cell r="M114"/>
        </row>
      </sheetData>
      <sheetData sheetId="21"/>
      <sheetData sheetId="22"/>
      <sheetData sheetId="23"/>
      <sheetData sheetId="24"/>
      <sheetData sheetId="25"/>
      <sheetData sheetId="26"/>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估价对象为北京市房地产，为所有。根据《国有土地使用证》[]，估价对象（分摊）出让国有建设用地使用权面积为17333.33平方米，建筑面积为17144.7平方米。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估价对象为北京市房地产,属开发建设的，该项目尚在开发建设中。根据《国有土地使用证》[]，估价对象（分摊）出让国有建设用地使用权面积为17333.33平方米，规划建筑面积为17144.7平方米。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8247</v>
      </c>
    </row>
    <row r="21" spans="1:2">
      <c r="A21" s="1119" t="s">
        <v>537</v>
      </c>
      <c r="B21" s="1120">
        <f ca="1">'预评函-2'!D7</f>
        <v>4810</v>
      </c>
    </row>
    <row r="22" spans="1:2">
      <c r="A22" s="1119" t="s">
        <v>538</v>
      </c>
      <c r="B22" s="1120" t="str">
        <f ca="1">'预评函-2'!D6</f>
        <v>捌仟贰佰肆拾柒万元整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8247</v>
      </c>
    </row>
    <row r="31" spans="1:2">
      <c r="A31" s="1119" t="s">
        <v>576</v>
      </c>
      <c r="B31" s="1120">
        <f ca="1">'预评函-2'!D15</f>
        <v>4810</v>
      </c>
    </row>
    <row r="32" spans="1:2">
      <c r="A32" s="1119" t="s">
        <v>543</v>
      </c>
      <c r="B32" s="1120" t="str">
        <f ca="1">'预评函-2'!D14</f>
        <v>捌仟贰佰肆拾柒万元整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17144.699999999997</v>
      </c>
    </row>
    <row r="44" spans="1:2">
      <c r="A44" s="1119" t="s">
        <v>575</v>
      </c>
      <c r="B44" s="1120" t="str">
        <f>'预评函-3'!C2</f>
        <v>(分摊)土地面积</v>
      </c>
    </row>
    <row r="45" spans="1:2">
      <c r="A45" s="1119" t="s">
        <v>547</v>
      </c>
      <c r="B45" s="1120">
        <f>'预评函-3'!C4</f>
        <v>17333.330000000002</v>
      </c>
    </row>
    <row r="46" spans="1:2">
      <c r="A46" s="1119" t="s">
        <v>573</v>
      </c>
      <c r="B46" s="1120" t="str">
        <f>'预评函-3'!D2</f>
        <v>出让国有建设用地使用权价值</v>
      </c>
    </row>
    <row r="47" spans="1:2">
      <c r="A47" s="1119" t="s">
        <v>548</v>
      </c>
      <c r="B47" s="1120">
        <f ca="1">'预评函-3'!D4</f>
        <v>981</v>
      </c>
    </row>
    <row r="48" spans="1:2">
      <c r="A48" s="1119" t="s">
        <v>549</v>
      </c>
      <c r="B48" s="1120">
        <f ca="1">'预评函-3'!E4</f>
        <v>572</v>
      </c>
    </row>
    <row r="49" spans="1:2">
      <c r="A49" s="1119" t="s">
        <v>550</v>
      </c>
      <c r="B49" s="1120" t="str">
        <f ca="1">'预评函-3'!D5</f>
        <v>玖佰捌拾壹万元整</v>
      </c>
    </row>
    <row r="50" spans="1:2">
      <c r="A50" s="1119" t="s">
        <v>574</v>
      </c>
      <c r="B50" s="1120" t="str">
        <f>'预评函-3'!F2</f>
        <v>在建建筑物价值</v>
      </c>
    </row>
    <row r="51" spans="1:2">
      <c r="A51" s="1119" t="s">
        <v>551</v>
      </c>
      <c r="B51" s="1120">
        <f ca="1">'预评函-3'!F4</f>
        <v>7266</v>
      </c>
    </row>
    <row r="52" spans="1:2">
      <c r="A52" s="1119" t="s">
        <v>552</v>
      </c>
      <c r="B52" s="1120">
        <f ca="1">'预评函-3'!G4</f>
        <v>4238</v>
      </c>
    </row>
    <row r="53" spans="1:2">
      <c r="A53" s="1119" t="s">
        <v>580</v>
      </c>
      <c r="B53" s="1120" t="str">
        <f ca="1">'预评函-3'!F5</f>
        <v>柒仟贰佰陆拾陆万元整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4" t="s">
        <v>2579</v>
      </c>
      <c r="J2" s="3214"/>
      <c r="K2" s="3214"/>
      <c r="L2" s="3214"/>
      <c r="M2" s="3214"/>
      <c r="N2" s="3214"/>
      <c r="O2" s="3214"/>
      <c r="P2" s="3214"/>
      <c r="Q2" s="3214"/>
      <c r="R2" s="3214"/>
    </row>
    <row r="3" spans="1:18">
      <c r="A3" s="2763" t="s">
        <v>2500</v>
      </c>
      <c r="B3" s="2764">
        <f>项目基本情况!D3</f>
        <v>45790</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A79CF-B753-4EB7-88BE-294ACC0B0D35}">
  <dimension ref="A1:T20"/>
  <sheetViews>
    <sheetView zoomScale="85" zoomScaleNormal="85" workbookViewId="0">
      <selection activeCell="J31" sqref="J31"/>
    </sheetView>
  </sheetViews>
  <sheetFormatPr defaultColWidth="10.125" defaultRowHeight="14.25"/>
  <cols>
    <col min="1" max="1" width="26.625" style="3163" customWidth="1"/>
    <col min="2" max="2" width="10.125" style="3163" customWidth="1"/>
    <col min="3" max="16384" width="10.125" style="3163"/>
  </cols>
  <sheetData>
    <row r="1" spans="1:20">
      <c r="A1" s="3163" t="s">
        <v>3435</v>
      </c>
      <c r="B1" s="3163" t="s">
        <v>3436</v>
      </c>
      <c r="C1" s="3163" t="s">
        <v>3437</v>
      </c>
      <c r="D1" s="3163" t="s">
        <v>3438</v>
      </c>
      <c r="E1" s="3163" t="s">
        <v>3439</v>
      </c>
      <c r="F1" s="3163" t="s">
        <v>3440</v>
      </c>
      <c r="G1" s="3163" t="s">
        <v>3441</v>
      </c>
      <c r="H1" s="3163" t="s">
        <v>3442</v>
      </c>
      <c r="I1" s="3163" t="s">
        <v>3443</v>
      </c>
      <c r="J1" s="3163" t="s">
        <v>3444</v>
      </c>
      <c r="K1" s="3163" t="s">
        <v>3445</v>
      </c>
      <c r="L1" s="3163" t="s">
        <v>3446</v>
      </c>
      <c r="M1" s="3163" t="s">
        <v>3447</v>
      </c>
      <c r="N1" s="3163" t="s">
        <v>3448</v>
      </c>
      <c r="O1" s="3163" t="s">
        <v>3449</v>
      </c>
      <c r="P1" s="3163" t="s">
        <v>3450</v>
      </c>
      <c r="Q1" s="3163" t="s">
        <v>3451</v>
      </c>
      <c r="R1" s="3163" t="s">
        <v>3452</v>
      </c>
      <c r="S1" s="3163" t="s">
        <v>3453</v>
      </c>
      <c r="T1" s="3163" t="s">
        <v>2504</v>
      </c>
    </row>
    <row r="2" spans="1:20">
      <c r="A2" s="3163" t="s">
        <v>3454</v>
      </c>
      <c r="B2" s="3163" t="s">
        <v>3413</v>
      </c>
      <c r="C2" s="3163" t="s">
        <v>3455</v>
      </c>
      <c r="D2" s="3163" t="s">
        <v>3456</v>
      </c>
      <c r="E2" s="3163">
        <v>17652.03</v>
      </c>
      <c r="F2" s="3163">
        <v>21182.44</v>
      </c>
      <c r="G2" s="3163">
        <v>1.2</v>
      </c>
      <c r="H2" s="3163" t="s">
        <v>3457</v>
      </c>
      <c r="I2" s="3163" t="s">
        <v>3458</v>
      </c>
      <c r="J2" s="3163" t="s">
        <v>3459</v>
      </c>
      <c r="K2" s="3164">
        <v>45408.0004976852</v>
      </c>
      <c r="L2" s="3163" t="s">
        <v>3460</v>
      </c>
      <c r="M2" s="3163" t="s">
        <v>3461</v>
      </c>
      <c r="N2" s="3163">
        <v>4300</v>
      </c>
      <c r="O2" s="3163">
        <v>4300</v>
      </c>
      <c r="P2" s="3163">
        <v>162.4</v>
      </c>
      <c r="Q2" s="3163">
        <v>2030</v>
      </c>
      <c r="R2" s="3163">
        <v>0</v>
      </c>
      <c r="S2" s="3163" t="s">
        <v>3462</v>
      </c>
      <c r="T2" s="3163">
        <f>[1]常用公式!C18</f>
        <v>1.4649000000000001</v>
      </c>
    </row>
    <row r="3" spans="1:20">
      <c r="A3" s="3163" t="s">
        <v>3463</v>
      </c>
      <c r="B3" s="3163" t="s">
        <v>3413</v>
      </c>
      <c r="C3" s="3163" t="s">
        <v>3464</v>
      </c>
      <c r="D3" s="3163" t="s">
        <v>3456</v>
      </c>
      <c r="E3" s="3163">
        <v>21316.42</v>
      </c>
      <c r="F3" s="3163">
        <v>25579.71</v>
      </c>
      <c r="G3" s="3163">
        <v>1.2</v>
      </c>
      <c r="H3" s="3163" t="s">
        <v>3457</v>
      </c>
      <c r="I3" s="3163" t="s">
        <v>3458</v>
      </c>
      <c r="J3" s="3163" t="s">
        <v>3459</v>
      </c>
      <c r="K3" s="3164">
        <v>45408.0004976852</v>
      </c>
      <c r="L3" s="3163" t="s">
        <v>3460</v>
      </c>
      <c r="M3" s="3163" t="s">
        <v>3461</v>
      </c>
      <c r="N3" s="3163">
        <v>5200</v>
      </c>
      <c r="O3" s="3163">
        <v>5200</v>
      </c>
      <c r="P3" s="3163">
        <v>162.63</v>
      </c>
      <c r="Q3" s="3163">
        <v>2033</v>
      </c>
      <c r="R3" s="3163">
        <v>0</v>
      </c>
      <c r="S3" s="3163" t="s">
        <v>3462</v>
      </c>
    </row>
    <row r="4" spans="1:20">
      <c r="A4" s="3163" t="s">
        <v>3465</v>
      </c>
      <c r="B4" s="3163" t="s">
        <v>3413</v>
      </c>
      <c r="C4" s="3163" t="s">
        <v>3466</v>
      </c>
      <c r="D4" s="3163" t="s">
        <v>3456</v>
      </c>
      <c r="E4" s="3163">
        <v>17446.72</v>
      </c>
      <c r="F4" s="3163">
        <v>26170.09</v>
      </c>
      <c r="G4" s="3163">
        <v>1.5</v>
      </c>
      <c r="H4" s="3163" t="s">
        <v>3457</v>
      </c>
      <c r="I4" s="3163" t="s">
        <v>3458</v>
      </c>
      <c r="J4" s="3163" t="s">
        <v>3459</v>
      </c>
      <c r="K4" s="3164">
        <v>45408.0004976852</v>
      </c>
      <c r="L4" s="3163" t="s">
        <v>3460</v>
      </c>
      <c r="M4" s="3163" t="s">
        <v>3461</v>
      </c>
      <c r="N4" s="3163">
        <v>5100</v>
      </c>
      <c r="O4" s="3163">
        <v>5100</v>
      </c>
      <c r="P4" s="3163">
        <v>194.88</v>
      </c>
      <c r="Q4" s="3163">
        <v>1949</v>
      </c>
      <c r="R4" s="3163">
        <v>0</v>
      </c>
      <c r="S4" s="3163">
        <v>30</v>
      </c>
    </row>
    <row r="5" spans="1:20">
      <c r="A5" s="3163" t="s">
        <v>3467</v>
      </c>
      <c r="B5" s="3163" t="s">
        <v>3413</v>
      </c>
      <c r="C5" s="3163" t="s">
        <v>3468</v>
      </c>
      <c r="D5" s="3163" t="s">
        <v>3456</v>
      </c>
      <c r="E5" s="3163">
        <v>18241.37</v>
      </c>
      <c r="F5" s="3163">
        <v>21889.64</v>
      </c>
      <c r="G5" s="3163">
        <v>1.2</v>
      </c>
      <c r="H5" s="3163" t="s">
        <v>3457</v>
      </c>
      <c r="I5" s="3163" t="s">
        <v>3469</v>
      </c>
      <c r="J5" s="3163" t="s">
        <v>3459</v>
      </c>
      <c r="K5" s="3164">
        <v>45359.0004976852</v>
      </c>
      <c r="L5" s="3163" t="s">
        <v>3460</v>
      </c>
      <c r="M5" s="3163" t="s">
        <v>3470</v>
      </c>
      <c r="N5" s="3163">
        <v>6000</v>
      </c>
      <c r="O5" s="3163">
        <v>6000</v>
      </c>
      <c r="P5" s="3163">
        <v>219.28</v>
      </c>
      <c r="Q5" s="3163">
        <v>2741</v>
      </c>
      <c r="R5" s="3163">
        <v>0</v>
      </c>
      <c r="S5" s="3163" t="s">
        <v>3471</v>
      </c>
    </row>
    <row r="6" spans="1:20">
      <c r="A6" s="3163" t="s">
        <v>3472</v>
      </c>
      <c r="B6" s="3163" t="s">
        <v>3413</v>
      </c>
      <c r="C6" s="3163" t="s">
        <v>3473</v>
      </c>
      <c r="D6" s="3163" t="s">
        <v>3456</v>
      </c>
      <c r="E6" s="3163">
        <v>186670.83</v>
      </c>
      <c r="F6" s="3163">
        <v>336007.5</v>
      </c>
      <c r="G6" s="3163">
        <v>1.8</v>
      </c>
      <c r="H6" s="3163" t="s">
        <v>3457</v>
      </c>
      <c r="I6" s="3163" t="s">
        <v>3469</v>
      </c>
      <c r="J6" s="3163" t="s">
        <v>3459</v>
      </c>
      <c r="K6" s="3164">
        <v>45341.0004976852</v>
      </c>
      <c r="L6" s="3163" t="s">
        <v>3460</v>
      </c>
      <c r="M6" s="3163" t="s">
        <v>3474</v>
      </c>
      <c r="N6" s="3163">
        <v>77800</v>
      </c>
      <c r="O6" s="3163">
        <v>77800</v>
      </c>
      <c r="P6" s="3163">
        <v>277.85000000000002</v>
      </c>
      <c r="Q6" s="3163">
        <v>2315</v>
      </c>
      <c r="R6" s="3163">
        <v>0</v>
      </c>
      <c r="S6" s="3163" t="s">
        <v>3471</v>
      </c>
    </row>
    <row r="7" spans="1:20">
      <c r="A7" s="3163" t="s">
        <v>3475</v>
      </c>
      <c r="B7" s="3163" t="s">
        <v>3413</v>
      </c>
      <c r="C7" s="3163" t="s">
        <v>3476</v>
      </c>
      <c r="D7" s="3163" t="s">
        <v>3456</v>
      </c>
      <c r="E7" s="3163">
        <v>36970.339999999997</v>
      </c>
      <c r="F7" s="3163">
        <v>36970.339999999997</v>
      </c>
      <c r="G7" s="3163" t="s">
        <v>3477</v>
      </c>
      <c r="H7" s="3163" t="s">
        <v>3457</v>
      </c>
      <c r="I7" s="3163" t="s">
        <v>3469</v>
      </c>
      <c r="J7" s="3163" t="s">
        <v>3459</v>
      </c>
      <c r="K7" s="3164">
        <v>45264.0004976852</v>
      </c>
      <c r="L7" s="3163" t="s">
        <v>3460</v>
      </c>
      <c r="M7" s="3163" t="s">
        <v>3478</v>
      </c>
      <c r="N7" s="3163">
        <v>10540</v>
      </c>
      <c r="O7" s="3163">
        <v>10540</v>
      </c>
      <c r="P7" s="3163">
        <v>190.06</v>
      </c>
      <c r="Q7" s="3163">
        <v>2851</v>
      </c>
      <c r="R7" s="3163">
        <v>0</v>
      </c>
      <c r="S7" s="3163" t="s">
        <v>3471</v>
      </c>
    </row>
    <row r="8" spans="1:20">
      <c r="A8" s="3163" t="s">
        <v>3479</v>
      </c>
      <c r="B8" s="3163" t="s">
        <v>3413</v>
      </c>
      <c r="C8" s="3163" t="s">
        <v>3480</v>
      </c>
      <c r="D8" s="3163" t="s">
        <v>3456</v>
      </c>
      <c r="E8" s="3163">
        <v>20171.71</v>
      </c>
      <c r="F8" s="3163">
        <v>26223.22</v>
      </c>
      <c r="G8" s="3163" t="s">
        <v>3481</v>
      </c>
      <c r="H8" s="3163" t="s">
        <v>3457</v>
      </c>
      <c r="I8" s="3163" t="s">
        <v>3469</v>
      </c>
      <c r="J8" s="3163" t="s">
        <v>3459</v>
      </c>
      <c r="K8" s="3164">
        <v>45160.0004976852</v>
      </c>
      <c r="L8" s="3163" t="s">
        <v>3460</v>
      </c>
      <c r="M8" s="3163" t="s">
        <v>3482</v>
      </c>
      <c r="N8" s="3163">
        <v>5900</v>
      </c>
      <c r="O8" s="3163">
        <v>5900</v>
      </c>
      <c r="P8" s="3163">
        <v>194.99</v>
      </c>
      <c r="Q8" s="3163">
        <v>2250</v>
      </c>
      <c r="R8" s="3163">
        <v>0</v>
      </c>
      <c r="S8" s="3163" t="s">
        <v>3471</v>
      </c>
    </row>
    <row r="9" spans="1:20">
      <c r="A9" s="3163" t="s">
        <v>3483</v>
      </c>
      <c r="B9" s="3163" t="s">
        <v>3413</v>
      </c>
      <c r="C9" s="3163" t="s">
        <v>3484</v>
      </c>
      <c r="D9" s="3163" t="s">
        <v>3456</v>
      </c>
      <c r="E9" s="3163">
        <v>89021.08</v>
      </c>
      <c r="F9" s="3163">
        <v>106825.3</v>
      </c>
      <c r="G9" s="3163" t="s">
        <v>3485</v>
      </c>
      <c r="H9" s="3163" t="s">
        <v>3457</v>
      </c>
      <c r="I9" s="3163" t="s">
        <v>3469</v>
      </c>
      <c r="J9" s="3163" t="s">
        <v>3459</v>
      </c>
      <c r="K9" s="3164">
        <v>45117.0004976852</v>
      </c>
      <c r="L9" s="3163" t="s">
        <v>3460</v>
      </c>
      <c r="M9" s="3163" t="s">
        <v>3486</v>
      </c>
      <c r="N9" s="3163">
        <v>30947</v>
      </c>
      <c r="O9" s="3163">
        <v>30947</v>
      </c>
      <c r="P9" s="3163">
        <v>231.76</v>
      </c>
      <c r="Q9" s="3163">
        <v>2897</v>
      </c>
      <c r="R9" s="3163">
        <v>0</v>
      </c>
      <c r="S9" s="3163" t="s">
        <v>3471</v>
      </c>
    </row>
    <row r="10" spans="1:20">
      <c r="A10" s="3163" t="s">
        <v>3487</v>
      </c>
      <c r="B10" s="3163" t="s">
        <v>3413</v>
      </c>
      <c r="C10" s="3163" t="s">
        <v>3488</v>
      </c>
      <c r="D10" s="3163" t="s">
        <v>3456</v>
      </c>
      <c r="E10" s="3163">
        <v>19134.599999999999</v>
      </c>
      <c r="F10" s="3163">
        <v>22961.52</v>
      </c>
      <c r="G10" s="3163" t="s">
        <v>3485</v>
      </c>
      <c r="H10" s="3163" t="s">
        <v>3457</v>
      </c>
      <c r="I10" s="3163" t="s">
        <v>3469</v>
      </c>
      <c r="J10" s="3163" t="s">
        <v>3459</v>
      </c>
      <c r="K10" s="3164">
        <v>45113.0004976852</v>
      </c>
      <c r="L10" s="3163" t="s">
        <v>3460</v>
      </c>
      <c r="M10" s="3163" t="s">
        <v>3486</v>
      </c>
      <c r="N10" s="3163">
        <v>5496</v>
      </c>
      <c r="O10" s="3163">
        <v>5496</v>
      </c>
      <c r="P10" s="3163">
        <v>191.49</v>
      </c>
      <c r="Q10" s="3163">
        <v>2394</v>
      </c>
      <c r="R10" s="3163">
        <v>0</v>
      </c>
      <c r="S10" s="3163" t="s">
        <v>3471</v>
      </c>
    </row>
    <row r="11" spans="1:20" s="3165" customFormat="1">
      <c r="A11" s="3165" t="s">
        <v>3489</v>
      </c>
      <c r="B11" s="3165" t="s">
        <v>3413</v>
      </c>
      <c r="C11" s="3165" t="s">
        <v>3490</v>
      </c>
      <c r="D11" s="3165" t="s">
        <v>3456</v>
      </c>
      <c r="E11" s="3165">
        <v>53345.32</v>
      </c>
      <c r="F11" s="3165">
        <v>64014.38</v>
      </c>
      <c r="G11" s="3165" t="s">
        <v>3485</v>
      </c>
      <c r="H11" s="3165" t="s">
        <v>3457</v>
      </c>
      <c r="I11" s="3165" t="s">
        <v>3491</v>
      </c>
      <c r="J11" s="3165" t="s">
        <v>3459</v>
      </c>
      <c r="K11" s="3166">
        <v>45113.0004976852</v>
      </c>
      <c r="L11" s="3165" t="s">
        <v>3460</v>
      </c>
      <c r="M11" s="3165" t="s">
        <v>3492</v>
      </c>
      <c r="N11" s="3165">
        <v>7279.4</v>
      </c>
      <c r="O11" s="3165">
        <v>7279.4</v>
      </c>
      <c r="P11" s="3165">
        <v>90.97</v>
      </c>
      <c r="Q11" s="3165">
        <v>1137</v>
      </c>
      <c r="R11" s="3165">
        <v>0</v>
      </c>
      <c r="S11" s="3165" t="s">
        <v>3493</v>
      </c>
      <c r="T11" s="3165">
        <f>ROUND(Q11*$T$2,0)</f>
        <v>1666</v>
      </c>
    </row>
    <row r="12" spans="1:20">
      <c r="A12" s="3163" t="s">
        <v>3494</v>
      </c>
      <c r="B12" s="3163" t="s">
        <v>3413</v>
      </c>
      <c r="C12" s="3163" t="s">
        <v>3495</v>
      </c>
      <c r="D12" s="3163" t="s">
        <v>3456</v>
      </c>
      <c r="E12" s="3163">
        <v>67803.740000000005</v>
      </c>
      <c r="F12" s="3163">
        <v>122046.73</v>
      </c>
      <c r="G12" s="3163" t="s">
        <v>3496</v>
      </c>
      <c r="H12" s="3163" t="s">
        <v>3457</v>
      </c>
      <c r="I12" s="3163" t="s">
        <v>3469</v>
      </c>
      <c r="J12" s="3163" t="s">
        <v>3459</v>
      </c>
      <c r="K12" s="3164">
        <v>45008.0004976852</v>
      </c>
      <c r="L12" s="3163" t="s">
        <v>3460</v>
      </c>
      <c r="M12" s="3163" t="s">
        <v>3497</v>
      </c>
      <c r="N12" s="3163">
        <v>28300</v>
      </c>
      <c r="O12" s="3163">
        <v>28300</v>
      </c>
      <c r="P12" s="3163">
        <v>278.25</v>
      </c>
      <c r="Q12" s="3163">
        <v>2319</v>
      </c>
      <c r="R12" s="3163">
        <v>0</v>
      </c>
      <c r="S12" s="3163" t="s">
        <v>3471</v>
      </c>
    </row>
    <row r="13" spans="1:20">
      <c r="A13" s="3163" t="s">
        <v>3498</v>
      </c>
      <c r="B13" s="3163" t="s">
        <v>3413</v>
      </c>
      <c r="C13" s="3163" t="s">
        <v>3499</v>
      </c>
      <c r="D13" s="3163" t="s">
        <v>3456</v>
      </c>
      <c r="E13" s="3163">
        <v>374092.65</v>
      </c>
      <c r="F13" s="3163">
        <v>935231.62</v>
      </c>
      <c r="G13" s="3163" t="s">
        <v>3500</v>
      </c>
      <c r="H13" s="3163" t="s">
        <v>3457</v>
      </c>
      <c r="I13" s="3163" t="s">
        <v>3469</v>
      </c>
      <c r="J13" s="3163" t="s">
        <v>3459</v>
      </c>
      <c r="K13" s="3164">
        <v>44999.0004976852</v>
      </c>
      <c r="L13" s="3163" t="s">
        <v>3460</v>
      </c>
      <c r="M13" s="3163" t="s">
        <v>3501</v>
      </c>
      <c r="N13" s="3163">
        <v>185300</v>
      </c>
      <c r="O13" s="3163">
        <v>185300</v>
      </c>
      <c r="P13" s="3163">
        <v>330.22</v>
      </c>
      <c r="Q13" s="3163">
        <v>1981</v>
      </c>
      <c r="R13" s="3163">
        <v>0</v>
      </c>
      <c r="S13" s="3163" t="s">
        <v>3471</v>
      </c>
    </row>
    <row r="14" spans="1:20">
      <c r="A14" s="3163" t="s">
        <v>3502</v>
      </c>
      <c r="B14" s="3163" t="s">
        <v>3413</v>
      </c>
      <c r="C14" s="3163" t="s">
        <v>3503</v>
      </c>
      <c r="D14" s="3163" t="s">
        <v>3456</v>
      </c>
      <c r="E14" s="3163">
        <v>236803.69</v>
      </c>
      <c r="F14" s="3163">
        <v>592009.23</v>
      </c>
      <c r="G14" s="3163" t="s">
        <v>3500</v>
      </c>
      <c r="H14" s="3163" t="s">
        <v>3457</v>
      </c>
      <c r="I14" s="3163" t="s">
        <v>3469</v>
      </c>
      <c r="J14" s="3163" t="s">
        <v>3459</v>
      </c>
      <c r="K14" s="3164">
        <v>44979.0004976852</v>
      </c>
      <c r="L14" s="3163" t="s">
        <v>3460</v>
      </c>
      <c r="M14" s="3163" t="s">
        <v>3504</v>
      </c>
      <c r="N14" s="3163">
        <v>117300</v>
      </c>
      <c r="O14" s="3163">
        <v>117300</v>
      </c>
      <c r="P14" s="3163">
        <v>330.23</v>
      </c>
      <c r="Q14" s="3163">
        <v>1981</v>
      </c>
      <c r="R14" s="3163">
        <v>0</v>
      </c>
      <c r="S14" s="3163" t="s">
        <v>3471</v>
      </c>
    </row>
    <row r="15" spans="1:20">
      <c r="A15" s="3163" t="s">
        <v>3505</v>
      </c>
      <c r="B15" s="3163" t="s">
        <v>3413</v>
      </c>
      <c r="C15" s="3163" t="s">
        <v>3506</v>
      </c>
      <c r="D15" s="3163" t="s">
        <v>3456</v>
      </c>
      <c r="E15" s="3163">
        <v>108495.99</v>
      </c>
      <c r="F15" s="3163">
        <v>206142.38</v>
      </c>
      <c r="G15" s="3163">
        <v>1.9</v>
      </c>
      <c r="H15" s="3163" t="s">
        <v>3457</v>
      </c>
      <c r="I15" s="3163" t="s">
        <v>3469</v>
      </c>
      <c r="J15" s="3163" t="s">
        <v>3459</v>
      </c>
      <c r="K15" s="3164">
        <v>44910.0004976852</v>
      </c>
      <c r="L15" s="3163" t="s">
        <v>3460</v>
      </c>
      <c r="M15" s="3163" t="s">
        <v>3507</v>
      </c>
      <c r="N15" s="3163">
        <v>45170.58</v>
      </c>
      <c r="O15" s="3163">
        <v>45170.58</v>
      </c>
      <c r="P15" s="3163">
        <v>277.56</v>
      </c>
      <c r="Q15" s="3163">
        <v>2191</v>
      </c>
      <c r="R15" s="3163">
        <v>0</v>
      </c>
      <c r="S15" s="3163" t="s">
        <v>3471</v>
      </c>
    </row>
    <row r="16" spans="1:20">
      <c r="A16" s="3163" t="s">
        <v>3508</v>
      </c>
      <c r="B16" s="3163" t="s">
        <v>3413</v>
      </c>
      <c r="C16" s="3163" t="s">
        <v>3509</v>
      </c>
      <c r="D16" s="3163" t="s">
        <v>3456</v>
      </c>
      <c r="E16" s="3163">
        <v>65332.65</v>
      </c>
      <c r="F16" s="3163">
        <v>117598.77</v>
      </c>
      <c r="G16" s="3163" t="s">
        <v>3496</v>
      </c>
      <c r="H16" s="3163" t="s">
        <v>3457</v>
      </c>
      <c r="I16" s="3163" t="s">
        <v>3510</v>
      </c>
      <c r="J16" s="3163" t="s">
        <v>3459</v>
      </c>
      <c r="K16" s="3164">
        <v>44866.0004976852</v>
      </c>
      <c r="L16" s="3163" t="s">
        <v>3460</v>
      </c>
      <c r="M16" s="3163" t="s">
        <v>3511</v>
      </c>
      <c r="N16" s="3163">
        <v>25381.96</v>
      </c>
      <c r="O16" s="3163">
        <v>25381.96</v>
      </c>
      <c r="P16" s="3163">
        <v>259</v>
      </c>
      <c r="Q16" s="3163">
        <v>2158</v>
      </c>
      <c r="R16" s="3163">
        <v>0</v>
      </c>
      <c r="S16" s="3163" t="s">
        <v>3471</v>
      </c>
    </row>
    <row r="17" spans="1:20">
      <c r="A17" s="3163" t="s">
        <v>3512</v>
      </c>
      <c r="B17" s="3163" t="s">
        <v>3413</v>
      </c>
      <c r="C17" s="3163" t="s">
        <v>3513</v>
      </c>
      <c r="D17" s="3163" t="s">
        <v>3456</v>
      </c>
      <c r="E17" s="3163">
        <v>23693.13</v>
      </c>
      <c r="F17" s="3163">
        <v>30801.7</v>
      </c>
      <c r="G17" s="3163" t="s">
        <v>3481</v>
      </c>
      <c r="H17" s="3163" t="s">
        <v>3457</v>
      </c>
      <c r="I17" s="3163" t="s">
        <v>3510</v>
      </c>
      <c r="J17" s="3163" t="s">
        <v>3459</v>
      </c>
      <c r="K17" s="3164">
        <v>44791.0004976852</v>
      </c>
      <c r="L17" s="3163" t="s">
        <v>3460</v>
      </c>
      <c r="M17" s="3163" t="s">
        <v>3514</v>
      </c>
      <c r="N17" s="3163">
        <v>6414.01</v>
      </c>
      <c r="O17" s="3163">
        <v>6414.01</v>
      </c>
      <c r="P17" s="3163">
        <v>180.47</v>
      </c>
      <c r="Q17" s="3163">
        <v>2082</v>
      </c>
      <c r="R17" s="3163">
        <v>0</v>
      </c>
      <c r="S17" s="3163" t="s">
        <v>3471</v>
      </c>
    </row>
    <row r="18" spans="1:20">
      <c r="A18" s="3163" t="s">
        <v>3515</v>
      </c>
      <c r="B18" s="3163" t="s">
        <v>3413</v>
      </c>
      <c r="C18" s="3163" t="s">
        <v>3516</v>
      </c>
      <c r="D18" s="3163" t="s">
        <v>3456</v>
      </c>
      <c r="E18" s="3163">
        <v>36256.68</v>
      </c>
      <c r="F18" s="3163">
        <v>47133.69</v>
      </c>
      <c r="G18" s="3163" t="s">
        <v>3481</v>
      </c>
      <c r="H18" s="3163" t="s">
        <v>3457</v>
      </c>
      <c r="I18" s="3163" t="s">
        <v>3510</v>
      </c>
      <c r="J18" s="3163" t="s">
        <v>3459</v>
      </c>
      <c r="K18" s="3164">
        <v>44770.0004976852</v>
      </c>
      <c r="L18" s="3163" t="s">
        <v>3460</v>
      </c>
      <c r="M18" s="3163" t="s">
        <v>3517</v>
      </c>
      <c r="N18" s="3163">
        <v>9897.48</v>
      </c>
      <c r="O18" s="3163">
        <v>9897.48</v>
      </c>
      <c r="P18" s="3163">
        <v>181.99</v>
      </c>
      <c r="Q18" s="3163">
        <v>2100</v>
      </c>
      <c r="R18" s="3163">
        <v>0</v>
      </c>
      <c r="S18" s="3163">
        <v>50</v>
      </c>
    </row>
    <row r="19" spans="1:20" s="3165" customFormat="1">
      <c r="A19" s="3165" t="s">
        <v>3518</v>
      </c>
      <c r="B19" s="3165" t="s">
        <v>3413</v>
      </c>
      <c r="C19" s="3165" t="s">
        <v>3519</v>
      </c>
      <c r="D19" s="3165" t="s">
        <v>3456</v>
      </c>
      <c r="E19" s="3165">
        <v>7327.55</v>
      </c>
      <c r="F19" s="3165">
        <v>8060.31</v>
      </c>
      <c r="G19" s="3165" t="s">
        <v>3520</v>
      </c>
      <c r="H19" s="3165" t="s">
        <v>3457</v>
      </c>
      <c r="I19" s="3165" t="s">
        <v>3491</v>
      </c>
      <c r="J19" s="3165" t="s">
        <v>3459</v>
      </c>
      <c r="K19" s="3166">
        <v>44419.0004976852</v>
      </c>
      <c r="L19" s="3165" t="s">
        <v>3460</v>
      </c>
      <c r="M19" s="3165" t="s">
        <v>3521</v>
      </c>
      <c r="N19" s="3165">
        <v>759.28</v>
      </c>
      <c r="O19" s="3165">
        <v>759.28</v>
      </c>
      <c r="P19" s="3165">
        <v>69.08</v>
      </c>
      <c r="Q19" s="3165">
        <v>942</v>
      </c>
      <c r="R19" s="3165">
        <v>0</v>
      </c>
      <c r="S19" s="3165" t="s">
        <v>3493</v>
      </c>
      <c r="T19" s="3165">
        <f>ROUND(Q19*$T$2,0)</f>
        <v>1380</v>
      </c>
    </row>
    <row r="20" spans="1:20" s="3165" customFormat="1">
      <c r="A20" s="3165" t="s">
        <v>3522</v>
      </c>
      <c r="B20" s="3165" t="s">
        <v>3413</v>
      </c>
      <c r="C20" s="3165" t="s">
        <v>3523</v>
      </c>
      <c r="D20" s="3165" t="s">
        <v>3456</v>
      </c>
      <c r="E20" s="3165">
        <v>99235.68</v>
      </c>
      <c r="F20" s="3165">
        <v>99235.68</v>
      </c>
      <c r="G20" s="3165" t="s">
        <v>3477</v>
      </c>
      <c r="H20" s="3165" t="s">
        <v>3457</v>
      </c>
      <c r="I20" s="3165" t="s">
        <v>3491</v>
      </c>
      <c r="J20" s="3165" t="s">
        <v>3459</v>
      </c>
      <c r="K20" s="3166">
        <v>44419.0004976852</v>
      </c>
      <c r="L20" s="3165" t="s">
        <v>3460</v>
      </c>
      <c r="M20" s="3165" t="s">
        <v>3524</v>
      </c>
      <c r="N20" s="3165">
        <v>9975.17</v>
      </c>
      <c r="O20" s="3165">
        <v>9975.17</v>
      </c>
      <c r="P20" s="3165">
        <v>67.010000000000005</v>
      </c>
      <c r="Q20" s="3165">
        <v>1005</v>
      </c>
      <c r="R20" s="3165">
        <v>0</v>
      </c>
      <c r="S20" s="3165" t="s">
        <v>3493</v>
      </c>
      <c r="T20" s="3165">
        <f>ROUND(Q20*$T$2,0)</f>
        <v>1472</v>
      </c>
    </row>
  </sheetData>
  <phoneticPr fontId="135"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0061-B1D5-4CCF-AC58-937107FBD5F1}">
  <dimension ref="A1:T19"/>
  <sheetViews>
    <sheetView topLeftCell="E1" workbookViewId="0">
      <selection activeCell="P18" sqref="P18"/>
    </sheetView>
  </sheetViews>
  <sheetFormatPr defaultRowHeight="13.5"/>
  <cols>
    <col min="1" max="1" width="31.875" style="2814" bestFit="1" customWidth="1"/>
    <col min="2" max="2" width="9" style="2814"/>
    <col min="3" max="3" width="10.5" style="2814" bestFit="1" customWidth="1"/>
    <col min="4" max="4" width="11.625" style="2814" bestFit="1" customWidth="1"/>
    <col min="5" max="7" width="9" style="2814"/>
    <col min="8" max="8" width="11.625" style="2814" bestFit="1" customWidth="1"/>
    <col min="9" max="11" width="9" style="2814"/>
    <col min="12" max="12" width="9.5" style="2814" bestFit="1" customWidth="1"/>
    <col min="13" max="13" width="9" style="2814"/>
    <col min="14" max="14" width="10.5" style="2814" bestFit="1" customWidth="1"/>
    <col min="15" max="20" width="11.625" style="2814" bestFit="1" customWidth="1"/>
    <col min="21" max="16384" width="9" style="2814"/>
  </cols>
  <sheetData>
    <row r="1" spans="1:20">
      <c r="N1" s="1421" t="s">
        <v>3550</v>
      </c>
      <c r="P1" s="3169">
        <v>46023</v>
      </c>
      <c r="Q1" s="3169">
        <v>46388</v>
      </c>
      <c r="R1" s="3170">
        <v>46753</v>
      </c>
      <c r="S1" s="3169">
        <v>47119</v>
      </c>
      <c r="T1" s="3169">
        <v>47484</v>
      </c>
    </row>
    <row r="2" spans="1:20">
      <c r="A2" s="1421" t="s">
        <v>3532</v>
      </c>
      <c r="B2" s="1421" t="s">
        <v>3533</v>
      </c>
      <c r="C2" s="1421" t="s">
        <v>3534</v>
      </c>
      <c r="D2" s="1421" t="s">
        <v>3535</v>
      </c>
      <c r="E2" s="1421" t="s">
        <v>3536</v>
      </c>
      <c r="F2" s="1421" t="s">
        <v>3388</v>
      </c>
      <c r="G2" s="1421" t="s">
        <v>3545</v>
      </c>
      <c r="H2" s="1421" t="s">
        <v>3546</v>
      </c>
      <c r="I2" s="1421" t="s">
        <v>3547</v>
      </c>
      <c r="J2" s="1421" t="s">
        <v>3548</v>
      </c>
      <c r="K2" s="1421" t="s">
        <v>3549</v>
      </c>
      <c r="N2" s="3169">
        <f>项目基本情况!D3</f>
        <v>45790</v>
      </c>
      <c r="O2" s="3169">
        <v>46022</v>
      </c>
      <c r="P2" s="3169">
        <v>46387</v>
      </c>
      <c r="Q2" s="3169">
        <v>46752</v>
      </c>
      <c r="R2" s="3169">
        <v>47118</v>
      </c>
      <c r="S2" s="3169">
        <v>47483</v>
      </c>
      <c r="T2" s="3169">
        <v>47848</v>
      </c>
    </row>
    <row r="3" spans="1:20">
      <c r="A3" s="1421" t="s">
        <v>3527</v>
      </c>
      <c r="B3" s="3171" t="s">
        <v>3528</v>
      </c>
      <c r="C3" s="3169">
        <v>44429</v>
      </c>
      <c r="D3" s="3169">
        <v>46254</v>
      </c>
      <c r="E3" s="2814">
        <v>5</v>
      </c>
      <c r="F3" s="2814">
        <v>2200.71</v>
      </c>
      <c r="G3" s="2814">
        <v>0.99</v>
      </c>
      <c r="H3" s="2814">
        <v>1.22</v>
      </c>
      <c r="I3" s="2814">
        <v>1.25</v>
      </c>
      <c r="J3" s="2814">
        <v>1.29</v>
      </c>
      <c r="K3" s="2814">
        <v>1.33</v>
      </c>
      <c r="L3" s="2814">
        <v>18907464</v>
      </c>
      <c r="M3" s="2814">
        <f>ROUND(L3/5/365/(F3+F4+F5+F6),2)</f>
        <v>1.22</v>
      </c>
      <c r="O3" s="2814">
        <f>(F3+F4+F5+F6)*M3*($O$2-$N$2)</f>
        <v>2410128.0559999999</v>
      </c>
      <c r="P3" s="2814">
        <f>(F3+F4+F5+F6)*$M$3*(P2-P1)</f>
        <v>3781407.8119999999</v>
      </c>
      <c r="Q3" s="2814">
        <f>(F3+F4+F5+F6)*$P$17*(Q2-Q1)</f>
        <v>3099514.6</v>
      </c>
      <c r="R3" s="2814">
        <f>(F3+F4+F5+F6)*$P$17*(R2-R1)</f>
        <v>3108029.75</v>
      </c>
      <c r="S3" s="2814">
        <f>(F3+F4+F5+F6)*$P$17*(S2-S1)</f>
        <v>3099514.6</v>
      </c>
      <c r="T3" s="2814">
        <f>(F3+F4+F5+F6)*$P$17*(T2-T1)</f>
        <v>3099514.6</v>
      </c>
    </row>
    <row r="4" spans="1:20">
      <c r="A4" s="1421" t="s">
        <v>3527</v>
      </c>
      <c r="B4" s="3171" t="s">
        <v>3529</v>
      </c>
      <c r="C4" s="3169">
        <v>44429</v>
      </c>
      <c r="D4" s="3169">
        <v>46254</v>
      </c>
      <c r="E4" s="2814">
        <v>5</v>
      </c>
      <c r="F4" s="2814">
        <v>1767.16</v>
      </c>
      <c r="M4" s="2814">
        <f t="shared" ref="M4:M6" si="0">L4/5/365/F4</f>
        <v>0</v>
      </c>
      <c r="O4" s="2814">
        <f>F4*K4*($O$2-$N$2)</f>
        <v>0</v>
      </c>
    </row>
    <row r="5" spans="1:20">
      <c r="A5" s="1421" t="s">
        <v>3527</v>
      </c>
      <c r="B5" s="3171" t="s">
        <v>3530</v>
      </c>
      <c r="C5" s="3169">
        <v>44429</v>
      </c>
      <c r="D5" s="3169">
        <v>46254</v>
      </c>
      <c r="E5" s="2814">
        <v>5</v>
      </c>
      <c r="F5" s="2814">
        <v>2406.6799999999998</v>
      </c>
      <c r="M5" s="2814">
        <f t="shared" si="0"/>
        <v>0</v>
      </c>
      <c r="O5" s="2814">
        <f>F5*K5*($O$2-$N$2)</f>
        <v>0</v>
      </c>
    </row>
    <row r="6" spans="1:20">
      <c r="A6" s="1421" t="s">
        <v>3527</v>
      </c>
      <c r="B6" s="3171" t="s">
        <v>3531</v>
      </c>
      <c r="C6" s="3169">
        <v>44429</v>
      </c>
      <c r="D6" s="3169">
        <v>46254</v>
      </c>
      <c r="E6" s="2814">
        <v>5</v>
      </c>
      <c r="F6" s="2814">
        <v>2140.6</v>
      </c>
      <c r="M6" s="2814">
        <f t="shared" si="0"/>
        <v>0</v>
      </c>
      <c r="O6" s="2814">
        <f>F6*K6*($O$2-$N$2)</f>
        <v>0</v>
      </c>
    </row>
    <row r="7" spans="1:20">
      <c r="A7" s="1421" t="s">
        <v>3537</v>
      </c>
      <c r="B7" s="3171" t="s">
        <v>3541</v>
      </c>
      <c r="C7" s="3169">
        <v>45894</v>
      </c>
      <c r="D7" s="3169">
        <v>47719</v>
      </c>
      <c r="E7" s="2814">
        <v>5</v>
      </c>
      <c r="F7" s="2814">
        <v>1762.37</v>
      </c>
      <c r="G7" s="2814">
        <v>0.48</v>
      </c>
      <c r="H7" s="2814">
        <v>0.59</v>
      </c>
      <c r="I7" s="2814">
        <v>0.61</v>
      </c>
      <c r="J7" s="2814">
        <v>0.64</v>
      </c>
      <c r="K7" s="2814">
        <v>0.67</v>
      </c>
      <c r="L7" s="2814">
        <v>1924473</v>
      </c>
      <c r="M7" s="2814">
        <f>ROUND(L7/5/365/F7,2)</f>
        <v>0.6</v>
      </c>
      <c r="O7" s="2814">
        <f>F7*M7*(O2-N2)</f>
        <v>245321.90399999995</v>
      </c>
      <c r="P7" s="2814">
        <f>$F$7*$M$7*(P2-P1)</f>
        <v>384901.60799999995</v>
      </c>
      <c r="Q7" s="2814">
        <f t="shared" ref="Q7:T7" si="1">$F$7*$M$7*(Q2-Q1)</f>
        <v>384901.60799999995</v>
      </c>
      <c r="R7" s="2814">
        <f t="shared" si="1"/>
        <v>385959.02999999991</v>
      </c>
      <c r="S7" s="2814">
        <f t="shared" si="1"/>
        <v>384901.60799999995</v>
      </c>
      <c r="T7" s="2814">
        <f t="shared" si="1"/>
        <v>384901.60799999995</v>
      </c>
    </row>
    <row r="8" spans="1:20">
      <c r="A8" s="1421" t="s">
        <v>3538</v>
      </c>
      <c r="B8" s="3171" t="s">
        <v>3542</v>
      </c>
      <c r="C8" s="3169">
        <v>45512</v>
      </c>
      <c r="D8" s="3169">
        <v>47337</v>
      </c>
      <c r="E8" s="2814">
        <v>5</v>
      </c>
      <c r="F8" s="2814">
        <v>2140.23</v>
      </c>
      <c r="G8" s="2814">
        <v>0.56000000000000005</v>
      </c>
      <c r="H8" s="2814">
        <v>0.68</v>
      </c>
      <c r="I8" s="2814">
        <v>0.71</v>
      </c>
      <c r="J8" s="2814">
        <v>0.75</v>
      </c>
      <c r="K8" s="2814">
        <v>0.79</v>
      </c>
      <c r="L8" s="2814">
        <v>2727937</v>
      </c>
      <c r="M8" s="2814">
        <f>ROUND(L8/5/365/F8,2)</f>
        <v>0.7</v>
      </c>
      <c r="O8" s="2814">
        <f>F8*M8*($O$2-$N$2)</f>
        <v>347573.35199999996</v>
      </c>
      <c r="P8" s="2814">
        <f>$F$8*$M$8*(P2-P1)</f>
        <v>545330.60399999993</v>
      </c>
      <c r="Q8" s="2814">
        <f t="shared" ref="Q8:S8" si="2">$F$8*$M$8*(Q2-Q1)</f>
        <v>545330.60399999993</v>
      </c>
      <c r="R8" s="2814">
        <f t="shared" si="2"/>
        <v>546828.7649999999</v>
      </c>
      <c r="S8" s="2814">
        <f t="shared" si="2"/>
        <v>545330.60399999993</v>
      </c>
      <c r="T8" s="2814">
        <f>$F$8*$P$17*(T2-T1)</f>
        <v>779043.72</v>
      </c>
    </row>
    <row r="9" spans="1:20">
      <c r="A9" s="1421" t="s">
        <v>3539</v>
      </c>
      <c r="B9" s="3171" t="s">
        <v>3543</v>
      </c>
      <c r="C9" s="3169">
        <v>44866</v>
      </c>
      <c r="D9" s="3169">
        <v>46691</v>
      </c>
      <c r="E9" s="2814">
        <v>5</v>
      </c>
      <c r="F9" s="2814">
        <v>2208.0300000000002</v>
      </c>
      <c r="G9" s="2814">
        <v>1.03</v>
      </c>
      <c r="H9" s="2814">
        <v>1.34</v>
      </c>
      <c r="I9" s="2814">
        <v>1.38</v>
      </c>
      <c r="J9" s="2814">
        <v>1.45</v>
      </c>
      <c r="K9" s="2814">
        <v>1.52</v>
      </c>
      <c r="L9" s="2814">
        <v>5418814</v>
      </c>
      <c r="M9" s="2814">
        <f>ROUND(L9/5/365/F9,2)</f>
        <v>1.34</v>
      </c>
      <c r="O9" s="2814">
        <f>F9*M9*($O$2-$N$2)</f>
        <v>686432.36640000017</v>
      </c>
      <c r="P9" s="2814">
        <f>$F$9*$M$9*(P2-P1)</f>
        <v>1076988.7128000003</v>
      </c>
      <c r="Q9" s="2814">
        <f>$F$9*$M$9*(Q2-Q1)</f>
        <v>1076988.7128000003</v>
      </c>
      <c r="R9" s="2814">
        <f>$F$9*$P$17*(R2-R1)</f>
        <v>805930.95000000007</v>
      </c>
      <c r="S9" s="2814">
        <f t="shared" ref="S9:T9" si="3">$F$9*$P$17*(S2-S1)</f>
        <v>803722.92</v>
      </c>
      <c r="T9" s="2814">
        <f t="shared" si="3"/>
        <v>803722.92</v>
      </c>
    </row>
    <row r="10" spans="1:20">
      <c r="A10" s="1421" t="s">
        <v>3540</v>
      </c>
      <c r="B10" s="3171" t="s">
        <v>3544</v>
      </c>
      <c r="C10" s="3169">
        <v>45777</v>
      </c>
      <c r="D10" s="3169">
        <v>46141</v>
      </c>
      <c r="E10" s="2814">
        <v>1</v>
      </c>
      <c r="F10" s="2814">
        <v>1765.54</v>
      </c>
      <c r="G10" s="2814">
        <v>0.46</v>
      </c>
      <c r="L10" s="2814">
        <v>296434</v>
      </c>
      <c r="M10" s="2814">
        <f>ROUND(L10/1/365/F10,2)</f>
        <v>0.46</v>
      </c>
      <c r="O10" s="2814">
        <f>F10*G10*($O$2-$N$2)</f>
        <v>188418.42879999999</v>
      </c>
      <c r="P10" s="2814">
        <f>$F$10*$M$10*(P2-P1)</f>
        <v>295622.01760000002</v>
      </c>
      <c r="Q10" s="2814">
        <f>$F$10*$P$17*(Q2-Q1)</f>
        <v>642656.55999999994</v>
      </c>
      <c r="R10" s="2814">
        <f t="shared" ref="R10:T10" si="4">$F$10*$P$17*(R2-R1)</f>
        <v>644422.1</v>
      </c>
      <c r="S10" s="2814">
        <f t="shared" si="4"/>
        <v>642656.55999999994</v>
      </c>
      <c r="T10" s="2814">
        <f t="shared" si="4"/>
        <v>642656.55999999994</v>
      </c>
    </row>
    <row r="11" spans="1:20">
      <c r="F11" s="2814">
        <f>SUM(F3:F10)</f>
        <v>16391.32</v>
      </c>
      <c r="O11" s="2814">
        <f>SUM(O3:O10)</f>
        <v>3877874.1072</v>
      </c>
      <c r="P11" s="2814">
        <f t="shared" ref="P11:T11" si="5">SUM(P3:P10)</f>
        <v>6084250.7544</v>
      </c>
      <c r="Q11" s="2814">
        <f t="shared" si="5"/>
        <v>5749392.0848000003</v>
      </c>
      <c r="R11" s="2814">
        <f t="shared" si="5"/>
        <v>5491170.5949999997</v>
      </c>
      <c r="S11" s="2814">
        <f t="shared" si="5"/>
        <v>5476126.2919999994</v>
      </c>
      <c r="T11" s="2814">
        <f t="shared" si="5"/>
        <v>5709839.4079999998</v>
      </c>
    </row>
    <row r="12" spans="1:20">
      <c r="F12" s="1421"/>
    </row>
    <row r="14" spans="1:20">
      <c r="O14" s="3167" t="s">
        <v>3551</v>
      </c>
      <c r="P14" s="3168">
        <f>ROUND((T2-N2)/365,2)</f>
        <v>5.64</v>
      </c>
      <c r="Q14" s="3168" t="s">
        <v>3552</v>
      </c>
    </row>
    <row r="15" spans="1:20">
      <c r="O15" s="3167" t="s">
        <v>3553</v>
      </c>
      <c r="P15" s="3168">
        <f>SUM(O11:U11)</f>
        <v>32388653.2414</v>
      </c>
      <c r="Q15" s="3168">
        <f>ROUND(P15/P16/P14/365,2)</f>
        <v>0.92</v>
      </c>
    </row>
    <row r="16" spans="1:20">
      <c r="O16" s="3167" t="s">
        <v>3554</v>
      </c>
      <c r="P16" s="3168">
        <f>'数据-汇总表'!E3</f>
        <v>17144.699999999997</v>
      </c>
      <c r="Q16" s="3168"/>
    </row>
    <row r="17" spans="15:17">
      <c r="O17" s="3167" t="s">
        <v>3555</v>
      </c>
      <c r="P17" s="3168">
        <v>1</v>
      </c>
      <c r="Q17" s="3168"/>
    </row>
    <row r="18" spans="15:17">
      <c r="O18" s="3167" t="s">
        <v>3556</v>
      </c>
      <c r="P18" s="3172">
        <v>1.4999999999999999E-2</v>
      </c>
      <c r="Q18" s="3168"/>
    </row>
    <row r="19" spans="15:17">
      <c r="O19" s="3167" t="s">
        <v>3557</v>
      </c>
      <c r="P19" s="3168">
        <f>ROUND(P17*(1+P18)^P14,2)</f>
        <v>1.0900000000000001</v>
      </c>
      <c r="Q19" s="3168"/>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45790</v>
      </c>
      <c r="C3" s="2186" t="s">
        <v>2170</v>
      </c>
      <c r="D3" s="2185">
        <f>B3</f>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1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19"/>
      <c r="E9" s="2205" t="s">
        <v>43</v>
      </c>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v>50902</v>
      </c>
      <c r="I13" s="803"/>
      <c r="J13" s="2803"/>
      <c r="K13" s="2399"/>
      <c r="L13" s="2399"/>
      <c r="M13" s="2245"/>
      <c r="N13" s="1670"/>
      <c r="O13" s="2245"/>
      <c r="P13" s="2245"/>
      <c r="Q13" s="2245"/>
      <c r="AD13" s="1618"/>
    </row>
    <row r="14" spans="1:30">
      <c r="A14" s="1018"/>
      <c r="B14" s="2218" t="s">
        <v>2190</v>
      </c>
      <c r="C14" s="2219"/>
      <c r="D14" s="2219"/>
      <c r="E14" s="2219"/>
      <c r="F14" s="2219"/>
      <c r="G14" s="2219"/>
      <c r="H14" s="2219">
        <v>20</v>
      </c>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14</v>
      </c>
      <c r="I15" s="2221" t="str">
        <f>IF(A13="出让",IF(I13="","",ROUNDDOWN(MIN((I13-$D$3)/365,I14),2)),I14)</f>
        <v/>
      </c>
      <c r="J15" s="2805"/>
      <c r="K15" s="1670"/>
      <c r="L15" s="1670"/>
      <c r="M15" s="2245"/>
      <c r="N15" s="1670"/>
      <c r="O15" s="2245"/>
      <c r="P15" s="2245"/>
      <c r="Q15" s="2245"/>
      <c r="AD15" s="1618"/>
    </row>
    <row r="16" spans="1:30">
      <c r="A16" s="2211" t="s">
        <v>2192</v>
      </c>
      <c r="B16" s="3225"/>
      <c r="C16" s="3226"/>
      <c r="D16" s="3227"/>
      <c r="E16" s="2222" t="s">
        <v>2193</v>
      </c>
      <c r="F16" s="3228"/>
      <c r="G16" s="3229"/>
      <c r="H16" s="3229"/>
      <c r="I16" s="3230"/>
      <c r="J16" s="2245"/>
      <c r="K16" s="2403"/>
      <c r="L16" s="1670"/>
      <c r="M16" s="1670"/>
      <c r="N16" s="2245"/>
      <c r="O16" s="1670"/>
      <c r="P16" s="2245"/>
      <c r="Q16" s="2245"/>
      <c r="R16" s="2245"/>
    </row>
    <row r="17" spans="1:28">
      <c r="A17" s="305" t="s">
        <v>2194</v>
      </c>
      <c r="B17" s="294" t="s">
        <v>2195</v>
      </c>
      <c r="C17" s="8">
        <f>'数据-汇总表'!E3</f>
        <v>17144.699999999997</v>
      </c>
      <c r="D17" s="1256" t="s">
        <v>2196</v>
      </c>
      <c r="E17" s="3231" t="s">
        <v>2197</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17333.330000000002</v>
      </c>
      <c r="D18" s="1029" t="s">
        <v>2200</v>
      </c>
      <c r="E18" s="3234" t="s">
        <v>2201</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1" t="s">
        <v>2205</v>
      </c>
      <c r="C20" s="3222"/>
      <c r="D20" s="3223" t="s">
        <v>2206</v>
      </c>
      <c r="E20" s="3224"/>
      <c r="F20" s="2430" t="s">
        <v>1056</v>
      </c>
      <c r="G20" s="2442"/>
      <c r="H20" s="2442"/>
      <c r="I20" s="2442"/>
      <c r="J20" s="2245"/>
      <c r="K20" s="322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9"/>
      <c r="B30" s="294" t="s">
        <v>2217</v>
      </c>
      <c r="C30" s="3240"/>
      <c r="D30" s="3241"/>
      <c r="E30" s="2442"/>
      <c r="F30" s="2442"/>
      <c r="G30" s="2442"/>
      <c r="H30" s="2442"/>
      <c r="I30" s="2442"/>
      <c r="J30" s="2245"/>
      <c r="K30" s="2402"/>
      <c r="L30" s="2399"/>
      <c r="M30" s="2399"/>
      <c r="N30" s="2245"/>
      <c r="O30" s="1670"/>
      <c r="P30" s="2245"/>
      <c r="Q30" s="2245"/>
      <c r="R30" s="2245"/>
      <c r="S30" s="2245"/>
      <c r="T30" s="2245"/>
      <c r="U30" s="2245"/>
      <c r="V30" s="2245"/>
    </row>
    <row r="31" spans="1:28">
      <c r="A31" s="324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37" t="s">
        <v>2227</v>
      </c>
      <c r="T34" s="315" t="str">
        <f>NUMBERSTRING(7-K34,1)&amp;"通"</f>
        <v>七通</v>
      </c>
      <c r="U34" s="2245"/>
      <c r="V34" s="2245"/>
    </row>
    <row r="35" spans="1:30">
      <c r="A35" s="2236"/>
      <c r="B35" s="3237" t="s">
        <v>2228</v>
      </c>
      <c r="C35" s="3237"/>
      <c r="D35" s="3237"/>
      <c r="E35" s="323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t="s">
        <v>3415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17333.330000000002</v>
      </c>
      <c r="B3" s="11">
        <f>IF(C3="否",G5-AT5,G5)</f>
        <v>17144.699999999997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17144.699999999997</v>
      </c>
      <c r="H5" s="13">
        <f t="shared" ref="H5:AT5" si="0">SUM(H13:H656)</f>
        <v>17144.699999999997</v>
      </c>
      <c r="I5" s="13">
        <f t="shared" si="0"/>
        <v>17144.699999999997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17144.699999999997</v>
      </c>
      <c r="BA5" s="15">
        <f t="shared" si="1"/>
        <v>17144.699999999997</v>
      </c>
      <c r="BB5" s="15">
        <f t="shared" si="1"/>
        <v>17144.699999999997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17333.330000000002</v>
      </c>
      <c r="F6" s="13" t="s">
        <v>0</v>
      </c>
      <c r="G6" s="13" t="s">
        <v>1</v>
      </c>
      <c r="H6" s="17">
        <f>SUMIF(I$12:AB$12,"总值",I6:AB6)</f>
        <v>17333.330000000002</v>
      </c>
      <c r="I6" s="13">
        <f t="shared" ref="I6:AB6" si="2">ROUND($A$3*I5/$B$3,2)</f>
        <v>17333.330000000002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17333.330000000002</v>
      </c>
      <c r="AZ6" s="13" t="s">
        <v>2</v>
      </c>
      <c r="BA6" s="13">
        <f>ROUND($AY$6*BA5/$AZ$5,2)</f>
        <v>17333.330000000002</v>
      </c>
      <c r="BB6" s="13">
        <f>ROUND($AY$6*BB5/$AZ$5,2)</f>
        <v>17333.330000000002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508" t="s">
        <v>3416</v>
      </c>
      <c r="D13" s="1513" t="s">
        <v>3418</v>
      </c>
      <c r="E13" s="13">
        <f>IF($C$3="是",ROUND($A$3*G13/$B$3,2),ROUND($A$3*(G13-AT13)/$B$3,2))</f>
        <v>8679.76</v>
      </c>
      <c r="F13" s="29"/>
      <c r="G13" s="30">
        <f>H13+AC13+AT13</f>
        <v>8585.2999999999993</v>
      </c>
      <c r="H13" s="17">
        <f>SUMIF(I$12:AB$12,"总值",I13:AB13)</f>
        <v>8585.2999999999993</v>
      </c>
      <c r="I13" s="1514">
        <v>8585.2999999999993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8679.76</v>
      </c>
      <c r="AZ13" s="13">
        <f>BA13+BL13</f>
        <v>8585.2999999999993</v>
      </c>
      <c r="BA13" s="13">
        <f>SUM(BB13:BK13)</f>
        <v>8585.2999999999993</v>
      </c>
      <c r="BB13" s="13">
        <f>IF($D13="是",I13-J13,0)</f>
        <v>8585.2999999999993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508" t="s">
        <v>3417</v>
      </c>
      <c r="D14" s="1513" t="s">
        <v>3418</v>
      </c>
      <c r="E14" s="13">
        <f>IF($C$3="是",ROUND($A$3*G14/$B$3,2),ROUND($A$3*(G14-AT14)/$B$3,2))</f>
        <v>8653.57</v>
      </c>
      <c r="F14" s="29"/>
      <c r="G14" s="30">
        <f>H14+AC14+AT14</f>
        <v>8559.4</v>
      </c>
      <c r="H14" s="17">
        <f>SUMIF(I$12:AB$12,"总值",I14:AB14)</f>
        <v>8559.4</v>
      </c>
      <c r="I14" s="1514">
        <v>8559.4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2号楼</v>
      </c>
      <c r="AY14" s="1260">
        <f>ROUND($AY$6*AZ14/$AZ$5,2)</f>
        <v>8653.57</v>
      </c>
      <c r="AZ14" s="13">
        <f>BA14+BL14</f>
        <v>8559.4</v>
      </c>
      <c r="BA14" s="13">
        <f>SUM(BB14:BK14)</f>
        <v>8559.4</v>
      </c>
      <c r="BB14" s="13">
        <f>IF($D14="是",I14-J14,0)</f>
        <v>8559.4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9"/>
      <c r="G2" s="2432"/>
      <c r="H2" s="2433"/>
      <c r="I2" s="2146" t="s">
        <v>1132</v>
      </c>
      <c r="J2" s="2439"/>
      <c r="K2" s="2439"/>
      <c r="L2" s="2439"/>
      <c r="M2" s="2439"/>
      <c r="N2" s="2440"/>
      <c r="O2" s="2439"/>
      <c r="P2" s="2439"/>
    </row>
    <row r="3" spans="1:16" ht="15.75" thickBot="1">
      <c r="A3" s="3254" t="s">
        <v>1105</v>
      </c>
      <c r="B3" s="3254"/>
      <c r="C3" s="3254"/>
      <c r="D3" s="41">
        <f>'数据-基础表'!AY6</f>
        <v>17333.330000000002</v>
      </c>
      <c r="E3" s="41">
        <f>'数据-基础表'!AZ5</f>
        <v>17144.699999999997</v>
      </c>
      <c r="F3" s="2439"/>
      <c r="G3" s="42"/>
      <c r="H3" s="43" t="s">
        <v>1106</v>
      </c>
      <c r="I3" s="802">
        <f>ROUND('数据-基础表'!B3/'数据-基础表'!A3,2)</f>
        <v>0.99</v>
      </c>
      <c r="J3" s="2439"/>
      <c r="K3" s="2439"/>
      <c r="L3" s="2439"/>
      <c r="M3" s="2439"/>
      <c r="N3" s="2440"/>
      <c r="O3" s="2439"/>
      <c r="P3" s="2439"/>
    </row>
    <row r="4" spans="1:16" ht="15">
      <c r="A4" s="3255"/>
      <c r="B4" s="3256"/>
      <c r="C4" s="3257"/>
      <c r="D4" s="1524" t="s">
        <v>1107</v>
      </c>
      <c r="E4" s="1525" t="s">
        <v>1108</v>
      </c>
      <c r="F4" s="2439"/>
      <c r="G4" s="2434" t="s">
        <v>1133</v>
      </c>
      <c r="H4" s="43" t="s">
        <v>1113</v>
      </c>
      <c r="I4" s="802">
        <f>ROUND(SUMIF('数据-基础表'!I9:AS9,"地上",'数据-基础表'!I5:AS5)/'数据-基础表'!A3,2)</f>
        <v>0.99</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f>ROUND(E31/D31,2)</f>
        <v>0.99</v>
      </c>
      <c r="J5" s="2439"/>
      <c r="K5" s="2439"/>
      <c r="L5" s="2439"/>
      <c r="M5" s="2439"/>
      <c r="N5" s="2439"/>
      <c r="O5" s="2439"/>
      <c r="P5" s="2439"/>
    </row>
    <row r="6" spans="1:16" ht="15" thickBot="1">
      <c r="A6" s="1527"/>
      <c r="B6" s="3258" t="s">
        <v>1111</v>
      </c>
      <c r="C6" s="3258"/>
      <c r="D6" s="43">
        <f>ROUND($D$3*E6/$E$3,2)</f>
        <v>17333.330000000002</v>
      </c>
      <c r="E6" s="44">
        <f>E3-E5</f>
        <v>17144.699999999997</v>
      </c>
      <c r="F6" s="2439"/>
      <c r="G6" s="1529" t="s">
        <v>1112</v>
      </c>
      <c r="H6" s="45" t="s">
        <v>1113</v>
      </c>
      <c r="I6" s="2435">
        <f>ROUND(F31/D31,2)</f>
        <v>0.99</v>
      </c>
      <c r="J6" s="2439"/>
      <c r="K6" s="2439"/>
      <c r="L6" s="2439"/>
      <c r="M6" s="2439"/>
      <c r="N6" s="2439"/>
      <c r="O6" s="2439"/>
      <c r="P6" s="2439"/>
    </row>
    <row r="7" spans="1:16" ht="15.75" thickBot="1">
      <c r="A7" s="3250"/>
      <c r="B7" s="3251"/>
      <c r="C7" s="325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17333.330000000002</v>
      </c>
      <c r="E8" s="46">
        <f>SUMIF('数据-基础表'!BB10:BK10,"地上",'数据-基础表'!BB5:BK5)</f>
        <v>17144.699999999997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17333.330000000002</v>
      </c>
      <c r="E16" s="48">
        <f>SUM(E8:E15)</f>
        <v>17144.699999999997</v>
      </c>
      <c r="F16" s="2439"/>
      <c r="G16" s="2439"/>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3420</v>
      </c>
      <c r="D19" s="43">
        <f>ROUND($D$3*E19/$E$3,2)</f>
        <v>17333.330000000002</v>
      </c>
      <c r="E19" s="51">
        <f t="shared" ref="E19:E26" si="1">SUM(F19:G19)</f>
        <v>17144.699999999997</v>
      </c>
      <c r="F19" s="2558">
        <f>'数据-基础表'!I5</f>
        <v>17144.699999999997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17333.330000000002</v>
      </c>
      <c r="S19" s="51">
        <f t="shared" si="5"/>
        <v>17144.699999999997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17333.330000000002</v>
      </c>
      <c r="E27" s="1073">
        <f>IF(SUM(E19:E26)='数据-基础表'!BA5,SUM(E19:E26),IF(F27="地上面积有误","面积有误","地下面积有误"))</f>
        <v>17144.699999999997</v>
      </c>
      <c r="F27" s="1072">
        <f>IF(SUM(F19:F26)=E8,SUM(F19:F26),"地上面积有误")</f>
        <v>17144.699999999997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17333.330000000002</v>
      </c>
      <c r="S27" s="43">
        <f>IF(SUM(S19:S26)=$E$3,SUM(S19:S26),SUM(S19:S26)&amp;"误差"&amp;ROUND(SUM(S19:S26)-E3,2))</f>
        <v>17144.699999999997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17333.330000000002</v>
      </c>
      <c r="E31" s="643">
        <f>E27+E30</f>
        <v>17144.699999999997</v>
      </c>
      <c r="F31" s="644">
        <f>F27+F30</f>
        <v>17144.699999999997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X17" sqref="X1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20</v>
      </c>
      <c r="E6" s="804">
        <f>IF(B6="","",SUMIF(项目基本情况!C$12:I$12,C6,项目基本情况!C$13:I$13))</f>
        <v>50902</v>
      </c>
      <c r="F6" s="61">
        <f>SUMIF(项目基本情况!C$12:I$12,C6,项目基本情况!C$15:I$15)</f>
        <v>14</v>
      </c>
      <c r="G6" s="62">
        <f>IF(ISERROR(ROUND(POWER(1+H6,D6-F6)*(POWER(1+H6,F6)-1)/(POWER(1+H6,D6)-1),3)),0,ROUND(POWER(1+H6,D6-F6)*(POWER(1+H6,F6)-1)/(POWER(1+H6,D6)-1),3))</f>
        <v>0.79400000000000004</v>
      </c>
      <c r="H6" s="691">
        <v>0.05</v>
      </c>
      <c r="I6" s="691">
        <v>5.5E-2</v>
      </c>
      <c r="J6" s="63">
        <v>7.0000000000000007E-2</v>
      </c>
      <c r="K6" s="970">
        <f>SUMIF('数据-汇总表'!C$19:C$33,A6,'数据-汇总表'!E$19:E$33)</f>
        <v>17144.699999999997</v>
      </c>
      <c r="L6" s="692">
        <v>4000</v>
      </c>
      <c r="M6" s="64">
        <f t="shared" ref="M6:M14" si="0">ROUND(K6*L6/10000,0)</f>
        <v>6858</v>
      </c>
      <c r="N6" s="690">
        <f>ROUND(1-(1-0%)*(2025-2021)/60,2)</f>
        <v>0.93</v>
      </c>
      <c r="O6" s="64" t="str">
        <f>IF($N$5="成新度","——",ROUND(M6*N6,0))</f>
        <v>——</v>
      </c>
      <c r="P6" s="65" t="str">
        <f>IF($N$5="成新度","——",M6-O6)</f>
        <v>——</v>
      </c>
      <c r="Q6" s="693">
        <v>0.1</v>
      </c>
      <c r="R6" s="66">
        <f ca="1">SUMIF('数据-汇总表'!C$19:C$33,A6,'数据-汇总表'!R$19:R$27)</f>
        <v>17333.330000000002</v>
      </c>
      <c r="S6" s="49">
        <f>IF('数据-汇总表'!$I$17="按面积比例",SUMIF('数据-汇总表'!C$19:C$33,A6,'数据-汇总表'!K$19:K$33),SUMIF('数据-汇总表'!C$19:C$33,A6,'数据-汇总表'!N$19:N$33))</f>
        <v>0</v>
      </c>
      <c r="T6" s="1092">
        <f>ROUND($L$14*S6/10000,0)</f>
        <v>0</v>
      </c>
      <c r="U6" s="3127">
        <v>1</v>
      </c>
      <c r="V6" s="67">
        <v>1.4999999999999999E-2</v>
      </c>
      <c r="W6" s="67">
        <v>0.1</v>
      </c>
      <c r="X6" s="979"/>
      <c r="Y6" s="68">
        <f>N6</f>
        <v>0.93</v>
      </c>
      <c r="Z6" s="69"/>
      <c r="AA6" s="63"/>
      <c r="AB6" s="63"/>
      <c r="AC6" s="979"/>
      <c r="AD6" s="70"/>
      <c r="AE6" s="980">
        <f ca="1">IF(AN6="",0,SUMIF(INDIRECT("'"&amp;AN6&amp;"'"&amp;"!E:E"),$AE$5,INDIRECT("'"&amp;AN6&amp;"'"&amp;"!F:F")))</f>
        <v>14</v>
      </c>
      <c r="AF6" s="74"/>
      <c r="AG6" s="130">
        <f>IF(AF6="",0,AE6-AF6)</f>
        <v>0</v>
      </c>
      <c r="AH6" s="71"/>
      <c r="AI6" s="73">
        <v>365</v>
      </c>
      <c r="AJ6" s="74"/>
      <c r="AK6" s="75">
        <v>2E-3</v>
      </c>
      <c r="AL6" s="76">
        <v>1E-3</v>
      </c>
      <c r="AM6" s="77">
        <v>5.0000000000000001E-3</v>
      </c>
      <c r="AN6" s="1589" t="s">
        <v>3422</v>
      </c>
      <c r="AO6" s="50">
        <f ca="1">SUMIF(INDIRECT("'"&amp;AN6&amp;"'"&amp;"!A:A"),"总价",INDIRECT("'"&amp;AN6&amp;"'"&amp;"!B:B"))</f>
        <v>7003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17144.699999999997</v>
      </c>
      <c r="L16" s="87">
        <f>ROUND(M16*10000/SUM(K6:K14),0)</f>
        <v>4000</v>
      </c>
      <c r="M16" s="87">
        <f>SUM(M6:M14)</f>
        <v>6858</v>
      </c>
      <c r="N16" s="88">
        <f>ROUND(SUMPRODUCT(M6:M14,N6:N14)/M16,3)</f>
        <v>0.93</v>
      </c>
      <c r="O16" s="87">
        <f>SUM(O6:O14)</f>
        <v>0</v>
      </c>
      <c r="P16" s="87">
        <f>SUM(P6:P14)</f>
        <v>0</v>
      </c>
      <c r="Q16" s="89">
        <f>ROUND(SUMPRODUCT(Q6:Q13,K6:K13)/SUMPRODUCT((Q6:Q13&gt;0)*(K6:K13)),2)</f>
        <v>0.1</v>
      </c>
      <c r="R16" s="974">
        <f ca="1">SUM(R6:R13)</f>
        <v>17333.330000000002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80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137</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2285</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13" sqref="K13"/>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17144.699999999997</v>
      </c>
      <c r="C1" s="2462"/>
      <c r="D1" s="2462"/>
      <c r="E1" s="2462"/>
      <c r="F1" s="2462"/>
      <c r="G1" s="2463"/>
      <c r="H1" s="2463"/>
      <c r="I1" s="2463"/>
      <c r="J1" s="2463"/>
      <c r="K1" s="2463"/>
    </row>
    <row r="2" spans="1:11" ht="16.5">
      <c r="A2" s="2300" t="s">
        <v>653</v>
      </c>
      <c r="B2" s="2300">
        <f>SUM(C14:C23)</f>
        <v>17333.330000000002</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8247</v>
      </c>
      <c r="C5" s="2300">
        <f ca="1">IF(B5=D14,结果表!H102,ROUND(B5*10000/$B$1,0))</f>
        <v>4810</v>
      </c>
      <c r="D5" s="2300">
        <f ca="1">ROUND(B5*10000/$B$2,0)</f>
        <v>4758</v>
      </c>
      <c r="E5" s="2462"/>
      <c r="F5" s="2463"/>
      <c r="G5" s="2463"/>
      <c r="H5" s="2463"/>
      <c r="I5" s="2463"/>
      <c r="J5" s="2463"/>
      <c r="K5" s="2463"/>
    </row>
    <row r="6" spans="1:11" ht="16.5">
      <c r="A6" s="2300" t="s">
        <v>656</v>
      </c>
      <c r="B6" s="2300">
        <f ca="1">SUM(G14:G23)</f>
        <v>8247</v>
      </c>
      <c r="C6" s="2300">
        <f ca="1">IF(B6=G14,结果表!H108,ROUND(B6*10000/$B$1,0))</f>
        <v>4810</v>
      </c>
      <c r="D6" s="2300">
        <f ca="1">ROUND(B6*10000/$B$2,0)</f>
        <v>4758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17144.699999999997</v>
      </c>
      <c r="C14" s="2306">
        <f>'数据-汇总表'!D3</f>
        <v>17333.330000000002</v>
      </c>
      <c r="D14" s="2306">
        <f ca="1">结果表!G19</f>
        <v>8247</v>
      </c>
      <c r="E14" s="2306">
        <f ca="1">ROUND(D14*10000/B14,0)</f>
        <v>4810</v>
      </c>
      <c r="F14" s="2306">
        <f ca="1">ROUND(D14*10000/C14,0)</f>
        <v>4758</v>
      </c>
      <c r="G14" s="2306">
        <f ca="1">D14</f>
        <v>8247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H28" sqref="H2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8" t="str">
        <f>项目基本情况!S2</f>
        <v>北京市房地产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4" t="s">
        <v>1265</v>
      </c>
      <c r="B4" s="1625" t="s">
        <v>1266</v>
      </c>
      <c r="C4" s="1626" t="s">
        <v>3429</v>
      </c>
      <c r="D4" s="1626" t="s">
        <v>3422</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3" t="s">
        <v>1269</v>
      </c>
      <c r="F5" s="1627"/>
      <c r="G5" s="1627"/>
      <c r="H5" s="1627"/>
      <c r="I5" s="1281"/>
    </row>
    <row r="6" spans="1:12" ht="12.75">
      <c r="A6" s="3276"/>
      <c r="B6" s="3331"/>
      <c r="C6" s="3336"/>
      <c r="D6" s="3322"/>
      <c r="E6" s="123" t="s">
        <v>1270</v>
      </c>
      <c r="F6" s="1627"/>
      <c r="G6" s="1627"/>
      <c r="H6" s="1627"/>
      <c r="I6" s="1281"/>
    </row>
    <row r="7" spans="1:12" ht="12.75">
      <c r="A7" s="3276"/>
      <c r="B7" s="3331"/>
      <c r="C7" s="3335"/>
      <c r="D7" s="3322"/>
      <c r="E7" s="123" t="s">
        <v>1271</v>
      </c>
      <c r="F7" s="1627"/>
      <c r="G7" s="1627"/>
      <c r="H7" s="1627"/>
      <c r="I7" s="1281"/>
    </row>
    <row r="8" spans="1:12" ht="12.75">
      <c r="A8" s="3276" t="s">
        <v>1272</v>
      </c>
      <c r="B8" s="3331">
        <v>15</v>
      </c>
      <c r="C8" s="3334"/>
      <c r="D8" s="3322"/>
      <c r="E8" s="123" t="s">
        <v>1273</v>
      </c>
      <c r="F8" s="1627"/>
      <c r="G8" s="1627"/>
      <c r="H8" s="1627"/>
      <c r="I8" s="1281"/>
    </row>
    <row r="9" spans="1:12" ht="12.75">
      <c r="A9" s="3276"/>
      <c r="B9" s="3331"/>
      <c r="C9" s="3335"/>
      <c r="D9" s="3322"/>
      <c r="E9" s="123" t="s">
        <v>1274</v>
      </c>
      <c r="F9" s="1627"/>
      <c r="G9" s="1627"/>
      <c r="H9" s="1627"/>
      <c r="I9" s="1281"/>
    </row>
    <row r="10" spans="1:12" ht="12.75">
      <c r="A10" s="3276" t="s">
        <v>1275</v>
      </c>
      <c r="B10" s="3331">
        <v>15</v>
      </c>
      <c r="C10" s="3334"/>
      <c r="D10" s="3322"/>
      <c r="E10" s="123" t="s">
        <v>1276</v>
      </c>
      <c r="F10" s="1627"/>
      <c r="G10" s="1627"/>
      <c r="H10" s="1627"/>
      <c r="I10" s="1281"/>
    </row>
    <row r="11" spans="1:12" ht="12.75">
      <c r="A11" s="3276"/>
      <c r="B11" s="3331"/>
      <c r="C11" s="3335"/>
      <c r="D11" s="3322"/>
      <c r="E11" s="123" t="s">
        <v>1277</v>
      </c>
      <c r="F11" s="1627"/>
      <c r="G11" s="1627"/>
      <c r="H11" s="1627"/>
      <c r="I11" s="1281"/>
    </row>
    <row r="12" spans="1:12" ht="12.75">
      <c r="A12" s="3276" t="s">
        <v>1278</v>
      </c>
      <c r="B12" s="3331">
        <v>15</v>
      </c>
      <c r="C12" s="3334"/>
      <c r="D12" s="3322"/>
      <c r="E12" s="123" t="s">
        <v>1279</v>
      </c>
      <c r="F12" s="1627"/>
      <c r="G12" s="1627"/>
      <c r="H12" s="1627"/>
      <c r="I12" s="1281"/>
    </row>
    <row r="13" spans="1:12" ht="12.75">
      <c r="A13" s="3276"/>
      <c r="B13" s="3331"/>
      <c r="C13" s="3335"/>
      <c r="D13" s="3322"/>
      <c r="E13" s="123" t="s">
        <v>1280</v>
      </c>
      <c r="F13" s="1627"/>
      <c r="G13" s="1627"/>
      <c r="H13" s="1627"/>
      <c r="I13" s="1281"/>
    </row>
    <row r="14" spans="1:12" ht="12.75">
      <c r="A14" s="3276" t="s">
        <v>1281</v>
      </c>
      <c r="B14" s="3331">
        <v>30</v>
      </c>
      <c r="C14" s="3334">
        <v>4</v>
      </c>
      <c r="D14" s="3322">
        <v>6</v>
      </c>
      <c r="E14" s="123" t="s">
        <v>1282</v>
      </c>
      <c r="F14" s="1627"/>
      <c r="G14" s="1627"/>
      <c r="H14" s="1627"/>
      <c r="I14" s="1281"/>
    </row>
    <row r="15" spans="1:12" ht="12.75">
      <c r="A15" s="3276"/>
      <c r="B15" s="3331"/>
      <c r="C15" s="3336"/>
      <c r="D15" s="3322"/>
      <c r="E15" s="123" t="s">
        <v>1283</v>
      </c>
      <c r="F15" s="1627"/>
      <c r="G15" s="1627"/>
      <c r="H15" s="1627"/>
      <c r="I15" s="1281"/>
    </row>
    <row r="16" spans="1:12" ht="12.75">
      <c r="A16" s="3276"/>
      <c r="B16" s="3331"/>
      <c r="C16" s="3335"/>
      <c r="D16" s="3322"/>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53" t="s">
        <v>2130</v>
      </c>
      <c r="F18" s="3354"/>
      <c r="G18" s="3354"/>
      <c r="H18" s="3354"/>
      <c r="I18" s="3354"/>
      <c r="K18" s="294" t="s">
        <v>1289</v>
      </c>
      <c r="L18" s="294">
        <f>IF(C1="",'数据-汇总表'!E3,SUMIF(项目类型,C1,'数据-汇总表'!E17:E26)+SUMIF(项目类型,C1,'数据-汇总表'!I17:I26))</f>
        <v>17144.699999999997</v>
      </c>
      <c r="M18" s="294">
        <f>IF(C1="",'数据-汇总表'!E3,SUMIF(项目类型,C1,'数据-汇总表'!E17:E26))</f>
        <v>17144.699999999997</v>
      </c>
    </row>
    <row r="19" spans="1:36" ht="15">
      <c r="A19" s="1630" t="s">
        <v>1290</v>
      </c>
      <c r="B19" s="1631" t="s">
        <v>1291</v>
      </c>
      <c r="C19" s="126">
        <f ca="1">SUMIF(INDIRECT("'"&amp;C4&amp;"'"&amp;"!A:A"),结果表!B19,INDIRECT("'"&amp;C4&amp;"'"&amp;"!B:B"))</f>
        <v>10114</v>
      </c>
      <c r="D19" s="127">
        <f ca="1">SUMIF(INDIRECT("'"&amp;D4&amp;"'"&amp;"!A:A"),结果表!B19,INDIRECT("'"&amp;D4&amp;"'"&amp;"!B:B"))</f>
        <v>7003</v>
      </c>
      <c r="E19" s="1630" t="s">
        <v>1292</v>
      </c>
      <c r="F19" s="1631" t="s">
        <v>1291</v>
      </c>
      <c r="G19" s="128">
        <f ca="1">ROUND(C19*$C$18+D19*$D$18,0)</f>
        <v>8247</v>
      </c>
      <c r="H19" s="1632" t="s">
        <v>1293</v>
      </c>
      <c r="I19" s="121"/>
      <c r="K19" s="294" t="s">
        <v>1294</v>
      </c>
      <c r="L19" s="294">
        <f>IF(C1="",'数据-汇总表'!D3,SUMIF(项目类型,C1,'数据-汇总表'!D17:D26)+SUMIF(项目类型,C1,'数据-汇总表'!H17:H27))</f>
        <v>17333.330000000002</v>
      </c>
      <c r="M19" s="294">
        <f>IF(C1="",'数据-汇总表'!D3,SUMIF(项目类型,C1,'数据-汇总表'!D17:D26))</f>
        <v>17333.330000000002</v>
      </c>
    </row>
    <row r="20" spans="1:36" ht="15">
      <c r="A20" s="1633"/>
      <c r="B20" s="43" t="s">
        <v>1295</v>
      </c>
      <c r="C20" s="129">
        <f ca="1">SUMIF(INDIRECT("'"&amp;C4&amp;"'"&amp;"!A:A"),结果表!B20,INDIRECT("'"&amp;C4&amp;"'"&amp;"!B:B"))</f>
        <v>5899</v>
      </c>
      <c r="D20" s="130">
        <f ca="1">SUMIF(INDIRECT("'"&amp;D4&amp;"'"&amp;"!A:A"),结果表!B20,INDIRECT("'"&amp;D4&amp;"'"&amp;"!B:B"))</f>
        <v>4085</v>
      </c>
      <c r="E20" s="1633"/>
      <c r="F20" s="43" t="s">
        <v>1295</v>
      </c>
      <c r="G20" s="131">
        <f ca="1">ROUND(C20*$C$18+D20*$D$18,0)</f>
        <v>4811</v>
      </c>
      <c r="H20" s="760" t="s">
        <v>1296</v>
      </c>
      <c r="I20" s="121"/>
    </row>
    <row r="21" spans="1:36" ht="15" customHeight="1" thickBot="1">
      <c r="A21" s="449"/>
      <c r="B21" s="93" t="s">
        <v>1297</v>
      </c>
      <c r="C21" s="678">
        <f ca="1">ROUND(C19*10000/L19,0)</f>
        <v>5835</v>
      </c>
      <c r="D21" s="679">
        <f ca="1">ROUND(D19*10000/L19,0)</f>
        <v>4040</v>
      </c>
      <c r="E21" s="449"/>
      <c r="F21" s="93" t="s">
        <v>1297</v>
      </c>
      <c r="G21" s="132">
        <f ca="1">ROUND(G19*10000/L19,0)</f>
        <v>4758</v>
      </c>
      <c r="H21" s="1634" t="s">
        <v>1296</v>
      </c>
      <c r="I21" s="121"/>
    </row>
    <row r="22" spans="1:36" ht="15" thickBot="1">
      <c r="A22" s="1564" t="s">
        <v>1298</v>
      </c>
      <c r="B22" s="1635"/>
      <c r="C22" s="1636"/>
      <c r="D22" s="680">
        <f ca="1">IF(C19&lt;D19,D19/C19-1,C19/D19-1)</f>
        <v>0.44423818363558465</v>
      </c>
      <c r="E22" s="121"/>
      <c r="F22" s="121"/>
      <c r="G22" s="121"/>
      <c r="H22" s="121"/>
      <c r="I22" s="121"/>
    </row>
    <row r="23" spans="1:36" ht="13.5" thickBot="1">
      <c r="A23" s="646"/>
      <c r="B23" s="646"/>
      <c r="C23" s="646"/>
      <c r="D23" s="646"/>
      <c r="E23" s="121"/>
      <c r="F23" s="121"/>
      <c r="G23" s="121"/>
      <c r="H23" s="121"/>
      <c r="I23" s="121"/>
    </row>
    <row r="24" spans="1:36" ht="14.25">
      <c r="A24" s="3346" t="s">
        <v>1299</v>
      </c>
      <c r="B24" s="1631" t="s">
        <v>1291</v>
      </c>
      <c r="C24" s="128">
        <f>IF(B30=0,0,D30)</f>
        <v>0</v>
      </c>
      <c r="D24" s="1637"/>
      <c r="E24" s="121"/>
      <c r="F24" s="121"/>
      <c r="G24" s="121"/>
      <c r="H24" s="121"/>
      <c r="I24" s="121"/>
    </row>
    <row r="25" spans="1:36" ht="14.25">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8247</v>
      </c>
      <c r="D32" s="1641" t="s">
        <v>3525</v>
      </c>
      <c r="E32" s="121"/>
      <c r="F32" s="121"/>
      <c r="G32" s="121"/>
      <c r="H32" s="121"/>
      <c r="I32" s="121"/>
    </row>
    <row r="33" spans="1:15" ht="15">
      <c r="A33" s="740" t="s">
        <v>1306</v>
      </c>
      <c r="B33" s="123"/>
      <c r="C33" s="1642" t="s">
        <v>3526</v>
      </c>
      <c r="D33" s="1643" t="s">
        <v>3429</v>
      </c>
      <c r="E33" s="1644" t="s">
        <v>1307</v>
      </c>
      <c r="F33" s="1645" t="str">
        <f>IF(D32="楼面单价","取值（单价）","取值（总价）")</f>
        <v>取值（总价）</v>
      </c>
      <c r="G33" s="121"/>
      <c r="H33" s="121"/>
      <c r="I33" s="121"/>
    </row>
    <row r="34" spans="1:15" ht="15">
      <c r="A34" s="1646"/>
      <c r="B34" s="1647" t="s">
        <v>1308</v>
      </c>
      <c r="C34" s="140">
        <f ca="1">IF(C33="自定义",F34,C32-C35)</f>
        <v>981</v>
      </c>
      <c r="D34" s="808">
        <f ca="1">IF(C33="自定义",ROUND(C34/C32,3),IF(C33="收益比率",SUMIF(INDIRECT("'"&amp;D33&amp;"'"&amp;"!b:b"),"土地收益比率",INDIRECT("'"&amp;D33&amp;"'"&amp;"!c:c")),SUMIF(INDIRECT("'"&amp;D33&amp;"'"&amp;"!b:b"),"土地成本比率",INDIRECT("'"&amp;D33&amp;"'"&amp;"!c:c"))))</f>
        <v>0.11899999999999999</v>
      </c>
      <c r="E34" s="1648" t="s">
        <v>1309</v>
      </c>
      <c r="F34" s="1243"/>
      <c r="G34" s="121"/>
      <c r="H34" s="121"/>
      <c r="I34" s="121"/>
    </row>
    <row r="35" spans="1:15" ht="15.75" thickBot="1">
      <c r="A35" s="1649"/>
      <c r="B35" s="1650" t="s">
        <v>1310</v>
      </c>
      <c r="C35" s="1090">
        <f ca="1">IF(C33="自定义",F35,ROUND(C32*D35,0))</f>
        <v>7266</v>
      </c>
      <c r="D35" s="1091">
        <f ca="1">IF(C33="自定义",ROUND(C35/C32,3),IF(C33="收益比率",SUMIF(INDIRECT("'"&amp;D33&amp;"'"&amp;"!b:b"),"建筑物收益比率",INDIRECT("'"&amp;D33&amp;"'"&amp;"!c:c")),SUMIF(INDIRECT("'"&amp;D33&amp;"'"&amp;"!b:b"),"建筑物成本比率",INDIRECT("'"&amp;D33&amp;"'"&amp;"!c:c"))))</f>
        <v>0.88100000000000001</v>
      </c>
      <c r="E35" s="1651" t="s">
        <v>1311</v>
      </c>
      <c r="F35" s="146"/>
      <c r="G35" s="121"/>
      <c r="H35" s="121"/>
      <c r="I35" s="121"/>
    </row>
    <row r="36" spans="1:15" ht="15.75" thickBot="1">
      <c r="A36" s="3323" t="s">
        <v>1312</v>
      </c>
      <c r="B36" s="1652" t="s">
        <v>1313</v>
      </c>
      <c r="C36" s="137"/>
      <c r="D36" s="1653"/>
      <c r="E36" s="1567"/>
      <c r="F36" s="1654"/>
      <c r="G36" s="121"/>
      <c r="H36" s="121"/>
      <c r="I36" s="121"/>
    </row>
    <row r="37" spans="1:15" ht="15.75" thickBot="1">
      <c r="A37" s="3324"/>
      <c r="B37" s="1555" t="s">
        <v>1314</v>
      </c>
      <c r="C37" s="139"/>
      <c r="D37" s="1071"/>
      <c r="E37" s="1071"/>
      <c r="F37" s="1654"/>
      <c r="G37" s="121"/>
      <c r="H37" s="121"/>
      <c r="I37" s="121"/>
    </row>
    <row r="38" spans="1:15" ht="15.75" thickBot="1">
      <c r="A38" s="332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8247</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10">
        <v>1</v>
      </c>
      <c r="K46" s="3264" t="s">
        <v>1331</v>
      </c>
      <c r="L46" s="3264"/>
      <c r="M46" s="3265"/>
      <c r="N46" s="3265"/>
      <c r="O46" s="3265"/>
    </row>
    <row r="47" spans="1:15" ht="12" customHeight="1">
      <c r="A47" s="152" t="s">
        <v>1332</v>
      </c>
      <c r="B47" s="153"/>
      <c r="C47" s="154"/>
      <c r="D47" s="1024" t="s">
        <v>1333</v>
      </c>
      <c r="E47" s="294" t="s">
        <v>1334</v>
      </c>
      <c r="F47" s="155" t="s">
        <v>1335</v>
      </c>
      <c r="G47" s="2333" t="s">
        <v>1336</v>
      </c>
      <c r="H47" s="2334"/>
      <c r="I47" s="151"/>
      <c r="J47" s="2310">
        <v>2</v>
      </c>
      <c r="K47" s="3264" t="s">
        <v>1337</v>
      </c>
      <c r="L47" s="3264"/>
      <c r="M47" s="3266">
        <f>'数据-取费表'!B2</f>
        <v>45790</v>
      </c>
      <c r="N47" s="3266"/>
      <c r="O47" s="3266"/>
    </row>
    <row r="48" spans="1:15" ht="25.5">
      <c r="A48" s="3326" t="s">
        <v>1338</v>
      </c>
      <c r="B48" s="3327"/>
      <c r="C48" s="3327"/>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4" t="s">
        <v>1340</v>
      </c>
      <c r="L48" s="3264"/>
      <c r="M48" s="3267">
        <f ca="1">H101</f>
        <v>8247</v>
      </c>
      <c r="N48" s="3267"/>
      <c r="O48" s="3267"/>
    </row>
    <row r="49" spans="1:35" ht="25.5" customHeight="1">
      <c r="A49" s="2152" t="s">
        <v>1341</v>
      </c>
      <c r="B49" s="3312" t="s">
        <v>1342</v>
      </c>
      <c r="C49" s="3312"/>
      <c r="D49" s="1478">
        <v>0</v>
      </c>
      <c r="E49" s="316" t="s">
        <v>1343</v>
      </c>
      <c r="F49" s="2233" t="s">
        <v>28</v>
      </c>
      <c r="G49" s="3295"/>
      <c r="H49" s="2134" t="s">
        <v>2133</v>
      </c>
      <c r="I49" s="2135"/>
      <c r="J49" s="2310">
        <v>4</v>
      </c>
      <c r="K49" s="3264" t="str">
        <f>IF(项目基本情况!E8="房地产抵押价值","房地产抵押价值","抵押担保权已注销时的房地产抵押价值")</f>
        <v>房地产抵押价值</v>
      </c>
      <c r="L49" s="3264"/>
      <c r="M49" s="3267">
        <f ca="1">IF(项目基本情况!E8="房地产抵押价值",H107,H109)</f>
        <v>8247</v>
      </c>
      <c r="N49" s="3267"/>
      <c r="O49" s="3267"/>
    </row>
    <row r="50" spans="1:35" ht="25.5" customHeight="1">
      <c r="A50" s="2338"/>
      <c r="B50" s="3312" t="s">
        <v>1344</v>
      </c>
      <c r="C50" s="3312"/>
      <c r="D50" s="2189"/>
      <c r="E50" s="323"/>
      <c r="F50" s="2233"/>
      <c r="G50" s="3296"/>
      <c r="H50" s="2136" t="s">
        <v>2134</v>
      </c>
      <c r="I50" s="2135"/>
      <c r="J50" s="3263" t="s">
        <v>1345</v>
      </c>
      <c r="K50" s="3263"/>
      <c r="L50" s="3263"/>
      <c r="M50" s="3263"/>
      <c r="N50" s="3263"/>
      <c r="O50" s="3263"/>
    </row>
    <row r="51" spans="1:35" ht="20.45" customHeight="1">
      <c r="A51" s="2339"/>
      <c r="B51" s="3312" t="s">
        <v>1346</v>
      </c>
      <c r="C51" s="3312"/>
      <c r="D51" s="1024"/>
      <c r="E51" s="319"/>
      <c r="F51" s="2233"/>
      <c r="G51" s="3297"/>
      <c r="H51" s="2136" t="s">
        <v>2135</v>
      </c>
      <c r="I51" s="2135"/>
      <c r="J51" s="2311" t="s">
        <v>1347</v>
      </c>
      <c r="K51" s="3264" t="s">
        <v>1348</v>
      </c>
      <c r="L51" s="3264"/>
      <c r="M51" s="2311" t="s">
        <v>1349</v>
      </c>
      <c r="N51" s="2311" t="s">
        <v>1350</v>
      </c>
      <c r="O51" s="2311" t="s">
        <v>1351</v>
      </c>
    </row>
    <row r="52" spans="1:35" ht="24" customHeight="1">
      <c r="A52" s="2153" t="s">
        <v>1352</v>
      </c>
      <c r="B52" s="3312" t="s">
        <v>1353</v>
      </c>
      <c r="C52" s="3312"/>
      <c r="D52" s="1024">
        <f ca="1">ROUND(D45*'数据-取费表'!B41/(1+'数据-取费表'!C42),0)</f>
        <v>432</v>
      </c>
      <c r="E52" s="1256" t="s">
        <v>1354</v>
      </c>
      <c r="F52" s="2340">
        <f>'数据-取费表'!B41</f>
        <v>5.5000000000000007E-2</v>
      </c>
      <c r="G52" s="2341"/>
      <c r="H52" s="2331"/>
      <c r="I52" s="1669"/>
      <c r="J52" s="2310">
        <v>1</v>
      </c>
      <c r="K52" s="3289" t="s">
        <v>1355</v>
      </c>
      <c r="L52" s="3289"/>
      <c r="M52" s="2312" t="b">
        <f>D48</f>
        <v>0</v>
      </c>
      <c r="N52" s="2310" t="str">
        <f>E48</f>
        <v>销售额×税（费）率</v>
      </c>
      <c r="O52" s="2313">
        <f>F48</f>
        <v>5.5000000000000007E-2</v>
      </c>
    </row>
    <row r="53" spans="1:35" ht="12" customHeight="1">
      <c r="A53" s="2153" t="s">
        <v>1356</v>
      </c>
      <c r="B53" s="3313" t="s">
        <v>2290</v>
      </c>
      <c r="C53" s="3314"/>
      <c r="D53" s="1024">
        <f ca="1">ROUND(D45*'数据-取费表'!B41/(1+'数据-取费表'!C42),0)</f>
        <v>432</v>
      </c>
      <c r="E53" s="1256" t="s">
        <v>1354</v>
      </c>
      <c r="F53" s="2340">
        <f>'数据-取费表'!B41</f>
        <v>5.5000000000000007E-2</v>
      </c>
      <c r="G53" s="2341"/>
      <c r="H53" s="2331"/>
      <c r="I53" s="1669"/>
      <c r="J53" s="2310">
        <v>2</v>
      </c>
      <c r="K53" s="3289" t="s">
        <v>1357</v>
      </c>
      <c r="L53" s="3289"/>
      <c r="M53" s="2312">
        <f t="shared" ref="M53:O54" ca="1" si="0">D55</f>
        <v>4</v>
      </c>
      <c r="N53" s="2310" t="str">
        <f t="shared" si="0"/>
        <v>销售额×税（费）率</v>
      </c>
      <c r="O53" s="2313" t="str">
        <f t="shared" si="0"/>
        <v>免征</v>
      </c>
    </row>
    <row r="54" spans="1:35" ht="12" customHeight="1">
      <c r="A54" s="2153" t="s">
        <v>1358</v>
      </c>
      <c r="B54" s="3313" t="s">
        <v>2291</v>
      </c>
      <c r="C54" s="3314"/>
      <c r="D54" s="1024">
        <f ca="1">C68</f>
        <v>432</v>
      </c>
      <c r="E54" s="319" t="s">
        <v>1359</v>
      </c>
      <c r="F54" s="2340">
        <f>'数据-取费表'!B41</f>
        <v>5.5000000000000007E-2</v>
      </c>
      <c r="G54" s="2341"/>
      <c r="H54" s="2342"/>
      <c r="I54" s="1669"/>
      <c r="J54" s="2310">
        <v>3</v>
      </c>
      <c r="K54" s="3289" t="s">
        <v>1360</v>
      </c>
      <c r="L54" s="3289"/>
      <c r="M54" s="2312">
        <f t="shared" ca="1" si="0"/>
        <v>4675</v>
      </c>
      <c r="N54" s="2310" t="str">
        <f t="shared" si="0"/>
        <v>增值额×税（费）率</v>
      </c>
      <c r="O54" s="2314" t="str">
        <f t="shared" si="0"/>
        <v>免征</v>
      </c>
    </row>
    <row r="55" spans="1:35" ht="24" customHeight="1">
      <c r="A55" s="3349" t="s">
        <v>1361</v>
      </c>
      <c r="B55" s="3327"/>
      <c r="C55" s="3327"/>
      <c r="D55" s="12">
        <f ca="1">IF(H55="个人住宅",0,ROUND(D45*I55,0))</f>
        <v>4</v>
      </c>
      <c r="E55" s="1256" t="s">
        <v>1362</v>
      </c>
      <c r="F55" s="2340" t="str">
        <f>IF(H55="正常",I55,"免征")</f>
        <v>免征</v>
      </c>
      <c r="G55" s="2341"/>
      <c r="H55" s="2337"/>
      <c r="I55" s="157">
        <f>'数据-取费表'!B49</f>
        <v>5.0000000000000001E-4</v>
      </c>
      <c r="J55" s="2310">
        <f>IF(H59="非个人房产","",4)</f>
        <v>4</v>
      </c>
      <c r="K55" s="3289" t="str">
        <f>IF(H59="非个人房产","——","个人所得税")</f>
        <v>个人所得税</v>
      </c>
      <c r="L55" s="3289"/>
      <c r="M55" s="2315">
        <f ca="1">D59</f>
        <v>79</v>
      </c>
      <c r="N55" s="1883" t="str">
        <f>E59</f>
        <v>差额计税</v>
      </c>
      <c r="O55" s="2316">
        <f>F59</f>
        <v>0.01</v>
      </c>
    </row>
    <row r="56" spans="1:35" ht="24.75">
      <c r="A56" s="3349" t="s">
        <v>1363</v>
      </c>
      <c r="B56" s="3327"/>
      <c r="C56" s="3327"/>
      <c r="D56" s="12">
        <f ca="1">IF(H56="个人住宅",D57,D58)</f>
        <v>4675</v>
      </c>
      <c r="E56" s="1256" t="s">
        <v>1364</v>
      </c>
      <c r="F56" s="2340" t="str">
        <f>IF(H56="正常",F58,"免征")</f>
        <v>免征</v>
      </c>
      <c r="G56" s="2343" t="s">
        <v>1365</v>
      </c>
      <c r="H56" s="2344"/>
      <c r="I56" s="1670"/>
      <c r="J56" s="2310" t="str">
        <f>IF(项目基本情况!K6="上海银行",IF(J55="",4,J55+1),"")</f>
        <v/>
      </c>
      <c r="K56" s="3270" t="str">
        <f>IF(项目基本情况!K6="上海银行","其他处置费用","")</f>
        <v/>
      </c>
      <c r="L56" s="3271"/>
      <c r="M56" s="2312" t="str">
        <f>IF(项目基本情况!K6="上海银行",M69,"")</f>
        <v/>
      </c>
      <c r="N56" s="3270" t="str">
        <f>IF(项目基本情况!K6="上海银行","包含处置中涉及的律师、诉讼、拍卖、评估等费用","")</f>
        <v/>
      </c>
      <c r="O56" s="3273"/>
    </row>
    <row r="57" spans="1:35" ht="12.75">
      <c r="A57" s="2153" t="s">
        <v>1341</v>
      </c>
      <c r="B57" s="3313" t="s">
        <v>1366</v>
      </c>
      <c r="C57" s="3314"/>
      <c r="D57" s="1478">
        <v>0</v>
      </c>
      <c r="E57" s="316" t="s">
        <v>1343</v>
      </c>
      <c r="F57" s="294"/>
      <c r="G57" s="2341"/>
      <c r="H57" s="2345"/>
      <c r="I57" s="1670"/>
      <c r="J57" s="3289">
        <f>IF(AND(J55="",J56=""),4,IF(项目基本情况!K6="上海银行",结果表!J56+1,结果表!J55+1))</f>
        <v>5</v>
      </c>
      <c r="K57" s="3289" t="s">
        <v>1367</v>
      </c>
      <c r="L57" s="2317" t="s">
        <v>1368</v>
      </c>
      <c r="M57" s="2318"/>
      <c r="N57" s="2319">
        <f ca="1">SUMIF(M52:M56,"&lt;9e307")</f>
        <v>4758</v>
      </c>
      <c r="O57" s="2320"/>
      <c r="P57" s="2465">
        <f ca="1">N57/M49</f>
        <v>0.57693706802473632</v>
      </c>
    </row>
    <row r="58" spans="1:35" ht="24.75">
      <c r="A58" s="2153" t="s">
        <v>1352</v>
      </c>
      <c r="B58" s="3313" t="s">
        <v>1369</v>
      </c>
      <c r="C58" s="3312"/>
      <c r="D58" s="12">
        <f ca="1">IF(H58="转让取得",C81,C97)</f>
        <v>4675</v>
      </c>
      <c r="E58" s="1256" t="s">
        <v>1364</v>
      </c>
      <c r="F58" s="294" t="s">
        <v>28</v>
      </c>
      <c r="G58" s="2341"/>
      <c r="H58" s="2344"/>
      <c r="I58" s="1670"/>
      <c r="J58" s="3289"/>
      <c r="K58" s="3289"/>
      <c r="L58" s="2317" t="s">
        <v>1370</v>
      </c>
      <c r="M58" s="2321"/>
      <c r="N58" s="2322" t="str">
        <f ca="1">NUMBERSTRING(INT(N57*10000),2)&amp;"元整"</f>
        <v>肆仟柒佰伍拾捌万元整</v>
      </c>
      <c r="O58" s="2323"/>
    </row>
    <row r="59" spans="1:35" ht="24.75" thickBot="1">
      <c r="A59" s="3293" t="s">
        <v>1371</v>
      </c>
      <c r="B59" s="3294"/>
      <c r="C59" s="3294"/>
      <c r="D59" s="2346">
        <f ca="1">IF(H59="非个人房产","——",IF(H59="个人住宅（满五唯一有凭证）",0,IF(H59="个人其他（无凭证）",ROUND(D45*F59,0),ROUND(C67*F59,0))))</f>
        <v>79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91">
        <f>J57+1</f>
        <v>6</v>
      </c>
      <c r="K59" s="3289" t="s">
        <v>1372</v>
      </c>
      <c r="L59" s="2310" t="s">
        <v>1368</v>
      </c>
      <c r="M59" s="2324"/>
      <c r="N59" s="2325">
        <f ca="1">M49-N57</f>
        <v>3489</v>
      </c>
      <c r="O59" s="2326"/>
    </row>
    <row r="60" spans="1:35" ht="12" customHeight="1">
      <c r="A60" s="1671"/>
      <c r="B60" s="646"/>
      <c r="C60" s="646"/>
      <c r="D60" s="646"/>
      <c r="E60" s="1466"/>
      <c r="F60" s="1670"/>
      <c r="G60" s="1670"/>
      <c r="H60" s="151"/>
      <c r="I60" s="121"/>
      <c r="J60" s="3292"/>
      <c r="K60" s="3289"/>
      <c r="L60" s="2317" t="s">
        <v>1370</v>
      </c>
      <c r="M60" s="2321"/>
      <c r="N60" s="2322" t="str">
        <f ca="1">NUMBERSTRING(INT(N59*10000),2)&amp;"元整"</f>
        <v>叁仟肆佰捌拾玖万元整</v>
      </c>
      <c r="O60" s="2323"/>
    </row>
    <row r="61" spans="1:35" ht="13.5" thickBot="1">
      <c r="A61" s="3348" t="s">
        <v>1373</v>
      </c>
      <c r="B61" s="3348"/>
      <c r="C61" s="3348"/>
      <c r="D61" s="3348"/>
      <c r="E61" s="3348"/>
      <c r="F61" s="1670"/>
      <c r="G61" s="1670"/>
      <c r="H61" s="151"/>
      <c r="I61" s="121"/>
      <c r="J61" s="2310">
        <f>J59+1</f>
        <v>7</v>
      </c>
      <c r="K61" s="3289" t="s">
        <v>1374</v>
      </c>
      <c r="L61" s="3289"/>
      <c r="M61" s="2327"/>
      <c r="N61" s="2328">
        <f ca="1">ROUND(N59*10000/'数据-汇总表'!E3,0)</f>
        <v>2035</v>
      </c>
      <c r="O61" s="2329"/>
    </row>
    <row r="62" spans="1:35" ht="12.75">
      <c r="A62" s="3308" t="s">
        <v>1375</v>
      </c>
      <c r="B62" s="3309"/>
      <c r="C62" s="1865"/>
      <c r="D62" s="1865" t="s">
        <v>1376</v>
      </c>
      <c r="E62" s="158" t="s">
        <v>1377</v>
      </c>
      <c r="F62" s="1670"/>
      <c r="G62" s="1670"/>
      <c r="H62" s="151"/>
      <c r="I62" s="121"/>
    </row>
    <row r="63" spans="1:35" ht="12.75">
      <c r="A63" s="165" t="s">
        <v>330</v>
      </c>
      <c r="B63" s="159" t="s">
        <v>1378</v>
      </c>
      <c r="C63" s="2350">
        <f ca="1">ROUND((C64+C65)/(1+'数据-取费表'!C42),0)</f>
        <v>7854</v>
      </c>
      <c r="D63" s="159"/>
      <c r="E63" s="160"/>
      <c r="F63" s="1670"/>
      <c r="G63" s="1670"/>
      <c r="H63" s="151"/>
      <c r="I63" s="121"/>
      <c r="J63" s="3272" t="s">
        <v>1379</v>
      </c>
      <c r="K63" s="1245" t="s">
        <v>1380</v>
      </c>
      <c r="L63" s="1245">
        <f ca="1">IF(M49&gt;10000,M49*0.5%,IF(AND(M49&gt;1000,M49&lt;=10000),M49*1%,IF(AND(M49&gt;100,M49&lt;=1000),M49*3%,IF(AND(M49&gt;10,M49&lt;=100),M49*5%,M49*8%))))</f>
        <v>82.47</v>
      </c>
      <c r="M63" s="294">
        <f ca="1">ROUND(L63,1)</f>
        <v>82.5</v>
      </c>
      <c r="N63" s="2330"/>
      <c r="Z63" s="1623"/>
      <c r="AI63" s="1561"/>
    </row>
    <row r="64" spans="1:35" ht="14.25" customHeight="1">
      <c r="A64" s="161" t="s">
        <v>325</v>
      </c>
      <c r="B64" s="162" t="s">
        <v>1381</v>
      </c>
      <c r="C64" s="2351">
        <f ca="1">D45</f>
        <v>8247</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41.234999999999999</v>
      </c>
      <c r="M64" s="294">
        <f t="shared" ref="M64:M65" ca="1" si="1">ROUND(L64,1)</f>
        <v>41.2</v>
      </c>
      <c r="N64" s="2331" t="s">
        <v>1383</v>
      </c>
      <c r="Z64" s="1623"/>
      <c r="AI64" s="1561"/>
    </row>
    <row r="65" spans="1:35" ht="14.25" customHeight="1">
      <c r="A65" s="161" t="s">
        <v>326</v>
      </c>
      <c r="B65" s="162" t="s">
        <v>1384</v>
      </c>
      <c r="C65" s="2352"/>
      <c r="D65" s="162"/>
      <c r="E65" s="164"/>
      <c r="F65" s="1670"/>
      <c r="G65" s="1670"/>
      <c r="H65" s="151"/>
      <c r="I65" s="121"/>
      <c r="J65" s="3272"/>
      <c r="K65" s="1245" t="s">
        <v>1385</v>
      </c>
      <c r="L65" s="1245">
        <f ca="1">IF(M49&gt;1000,M49*0.1%,IF(AND(M49&gt;500,M49&lt;=1000),M49*0.5%,IF(AND(M49&gt;50,M49&lt;=500),M49*1%,IF(AND(M49&gt;1,M49&lt;=50),M49*1.5%))))</f>
        <v>8.2469999999999999</v>
      </c>
      <c r="M65" s="294">
        <f t="shared" ca="1" si="1"/>
        <v>8.1999999999999993</v>
      </c>
      <c r="N65" s="2331" t="s">
        <v>1383</v>
      </c>
      <c r="Z65" s="1623"/>
      <c r="AI65" s="1561"/>
    </row>
    <row r="66" spans="1:35" ht="14.25" customHeight="1">
      <c r="A66" s="165" t="s">
        <v>327</v>
      </c>
      <c r="B66" s="166" t="s">
        <v>1386</v>
      </c>
      <c r="C66" s="2353"/>
      <c r="D66" s="166" t="s">
        <v>26</v>
      </c>
      <c r="E66" s="1251" t="s">
        <v>671</v>
      </c>
      <c r="F66" s="1670"/>
      <c r="G66" s="1670"/>
      <c r="H66" s="151"/>
      <c r="I66" s="121"/>
      <c r="J66" s="3272"/>
      <c r="K66" s="1245" t="s">
        <v>1387</v>
      </c>
      <c r="L66" s="1245">
        <f ca="1">M49*0.5%</f>
        <v>41.234999999999999</v>
      </c>
      <c r="M66" s="294">
        <f ca="1">IF(L66&gt;0.5,0.5,ROUND(L66,0))</f>
        <v>0.5</v>
      </c>
      <c r="N66" s="2331" t="s">
        <v>1388</v>
      </c>
      <c r="Z66" s="1623"/>
      <c r="AI66" s="1561"/>
    </row>
    <row r="67" spans="1:35" ht="14.25" customHeight="1">
      <c r="A67" s="165" t="s">
        <v>328</v>
      </c>
      <c r="B67" s="166" t="s">
        <v>1389</v>
      </c>
      <c r="C67" s="2354">
        <f ca="1">C63-C66</f>
        <v>7854</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7.8994</v>
      </c>
      <c r="M67" s="294">
        <f ca="1">ROUND(L67*0.9,1)</f>
        <v>7.1</v>
      </c>
      <c r="N67" s="2330"/>
      <c r="Z67" s="1623"/>
      <c r="AI67" s="1561"/>
    </row>
    <row r="68" spans="1:35" ht="14.25" customHeight="1" thickBot="1">
      <c r="A68" s="168" t="s">
        <v>329</v>
      </c>
      <c r="B68" s="169" t="s">
        <v>1391</v>
      </c>
      <c r="C68" s="2355">
        <f ca="1">IF(C67&lt;=0,0,ROUND(C67*D68,0))</f>
        <v>432</v>
      </c>
      <c r="D68" s="2356">
        <f>'数据-取费表'!B41</f>
        <v>5.5000000000000007E-2</v>
      </c>
      <c r="E68" s="170"/>
      <c r="F68" s="1670"/>
      <c r="G68" s="1670"/>
      <c r="H68" s="151"/>
      <c r="I68" s="121"/>
      <c r="J68" s="3272"/>
      <c r="K68" s="1245" t="s">
        <v>1392</v>
      </c>
      <c r="L68" s="1245">
        <f ca="1">IF(M49&gt;10000,M49*0.5%,IF(AND(M49&gt;5000,M49&lt;=10000),M49*1%,IF(AND(M49&gt;1000,M49&lt;=5000),M49*2%,IF(AND(M49&gt;200,M49&lt;=1000),M49*3%,M49*5%))))</f>
        <v>82.47</v>
      </c>
      <c r="M68" s="294">
        <f ca="1">ROUND(L68,1)</f>
        <v>82.5</v>
      </c>
      <c r="N68" s="2330"/>
      <c r="Z68" s="1623"/>
      <c r="AI68" s="1561"/>
    </row>
    <row r="69" spans="1:35" ht="16.5" customHeight="1">
      <c r="A69" s="1672"/>
      <c r="B69" s="1673"/>
      <c r="C69" s="1674"/>
      <c r="D69" s="1675"/>
      <c r="E69" s="1676"/>
      <c r="F69" s="1466"/>
      <c r="G69" s="1466"/>
      <c r="H69" s="1467"/>
      <c r="I69" s="646"/>
      <c r="J69" s="3272"/>
      <c r="K69" s="1245" t="s">
        <v>1393</v>
      </c>
      <c r="L69" s="1245"/>
      <c r="M69" s="294">
        <f ca="1">ROUND(SUM(M63:M68),0)</f>
        <v>222</v>
      </c>
      <c r="N69" s="2332">
        <f ca="1">M69/M49</f>
        <v>2.6918879592579121E-2</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7854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39</v>
      </c>
      <c r="D78" s="2363">
        <f>'数据-取费表'!B43</f>
        <v>5.000000000000001E-3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7815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200.38461538461539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4675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7854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4" t="s">
        <v>2128</v>
      </c>
      <c r="H90" s="327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5" t="s">
        <v>1422</v>
      </c>
      <c r="F92" s="3306"/>
      <c r="G92" s="3306"/>
      <c r="H92" s="330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39</v>
      </c>
      <c r="D93" s="2363">
        <f>'数据-取费表'!B43</f>
        <v>5.000000000000001E-3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7815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200.38461538461539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4675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1" t="str">
        <f>C4</f>
        <v>成本法</v>
      </c>
      <c r="D101" s="2372" t="str">
        <f>D4</f>
        <v>收益法</v>
      </c>
      <c r="E101" s="3268" t="s">
        <v>1431</v>
      </c>
      <c r="F101" s="3269"/>
      <c r="G101" s="1687" t="s">
        <v>1432</v>
      </c>
      <c r="H101" s="2381">
        <f ca="1">H118</f>
        <v>8247</v>
      </c>
      <c r="I101" s="121"/>
    </row>
    <row r="102" spans="1:35" ht="18.75" customHeight="1">
      <c r="A102" s="3300" t="s">
        <v>1433</v>
      </c>
      <c r="B102" s="2370" t="s">
        <v>1432</v>
      </c>
      <c r="C102" s="2371">
        <f ca="1">IF(D32="楼面单价",ROUND(C19,0),C19)</f>
        <v>10114</v>
      </c>
      <c r="D102" s="2372">
        <f ca="1">IF(D32="楼面单价",ROUND(D19,0),D19)</f>
        <v>7003</v>
      </c>
      <c r="E102" s="3268"/>
      <c r="F102" s="3269"/>
      <c r="G102" s="1687" t="s">
        <v>1434</v>
      </c>
      <c r="H102" s="2341">
        <f ca="1">I118</f>
        <v>4810</v>
      </c>
      <c r="I102" s="121"/>
    </row>
    <row r="103" spans="1:35" ht="42.75" customHeight="1">
      <c r="A103" s="3300"/>
      <c r="B103" s="2370" t="s">
        <v>1434</v>
      </c>
      <c r="C103" s="2373">
        <f ca="1">C20</f>
        <v>5899</v>
      </c>
      <c r="D103" s="2374">
        <f ca="1">D20</f>
        <v>4085</v>
      </c>
      <c r="E103" s="3261" t="s">
        <v>1435</v>
      </c>
      <c r="F103" s="3262"/>
      <c r="G103" s="1688" t="s">
        <v>1436</v>
      </c>
      <c r="H103" s="2381">
        <f>IF(D36="正常操作",H104+H105+H106,H105+H106)</f>
        <v>0</v>
      </c>
      <c r="I103" s="121"/>
    </row>
    <row r="104" spans="1:35" ht="18.75" customHeight="1">
      <c r="A104" s="3300" t="s">
        <v>1437</v>
      </c>
      <c r="B104" s="2375" t="s">
        <v>1432</v>
      </c>
      <c r="C104" s="2376">
        <f ca="1">H118</f>
        <v>8247</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f ca="1">I118</f>
        <v>4810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269"/>
      <c r="G107" s="1687" t="s">
        <v>1432</v>
      </c>
      <c r="H107" s="2381">
        <f ca="1">IF(E107="——","——",H101-H103)</f>
        <v>8247</v>
      </c>
      <c r="I107" s="121"/>
    </row>
    <row r="108" spans="1:35" ht="18.75" customHeight="1">
      <c r="A108" s="121"/>
      <c r="B108" s="121"/>
      <c r="C108" s="121"/>
      <c r="D108" s="121"/>
      <c r="E108" s="3301"/>
      <c r="F108" s="3269"/>
      <c r="G108" s="1687" t="s">
        <v>1434</v>
      </c>
      <c r="H108" s="2341">
        <f ca="1">IF(H107=H101,H102,ROUND(H107*10000/'数据-汇总表'!E3,0))</f>
        <v>4810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4" t="str">
        <f>IF(E109="——","——",H101-H105-H106)</f>
        <v>——</v>
      </c>
      <c r="I109" s="121"/>
    </row>
    <row r="110" spans="1:35" ht="18.75" customHeight="1">
      <c r="A110" s="121"/>
      <c r="B110" s="121"/>
      <c r="C110" s="121"/>
      <c r="D110" s="121"/>
      <c r="E110" s="3301"/>
      <c r="F110" s="3269"/>
      <c r="G110" s="1687" t="s">
        <v>1434</v>
      </c>
      <c r="H110" s="2341"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03"/>
      <c r="F112" s="3304"/>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17144.699999999997</v>
      </c>
      <c r="C118" s="2150">
        <f>M19</f>
        <v>17333.330000000002</v>
      </c>
      <c r="D118" s="2150">
        <f ca="1">ROUND(IF(D32="总价",C34,E118*B118/10000),0)</f>
        <v>981</v>
      </c>
      <c r="E118" s="2150">
        <f ca="1">ROUND(IF(C33="自定义",IF(D32="楼面单价",C34,D118*10000/B118),I118-G118),0)</f>
        <v>572</v>
      </c>
      <c r="F118" s="2150">
        <f ca="1">ROUND(IF(D32="总价",C35,G118*B118/10000),0)</f>
        <v>7266</v>
      </c>
      <c r="G118" s="2150">
        <f ca="1">ROUND(IF(D32="楼面单价",C35,F118*10000/B118),0)</f>
        <v>4238</v>
      </c>
      <c r="H118" s="2150">
        <f ca="1">ROUND(IF(D32="总价",C32,I118*B118/10000),0)</f>
        <v>8247</v>
      </c>
      <c r="I118" s="2150">
        <f ca="1">ROUND(IF(D32="楼面单价",C32,H118*10000/B118),0)</f>
        <v>4810</v>
      </c>
    </row>
    <row r="119" spans="1:27" ht="18.75" customHeight="1">
      <c r="A119" s="3276" t="s">
        <v>1452</v>
      </c>
      <c r="B119" s="3276"/>
      <c r="C119" s="3276"/>
      <c r="D119" s="3282" t="str">
        <f ca="1">NUMBERSTRING(INT(D118*10000),2)&amp;"元整"</f>
        <v>玖佰捌拾壹万元整</v>
      </c>
      <c r="E119" s="3283"/>
      <c r="F119" s="3282" t="str">
        <f ca="1">NUMBERSTRING(INT(F118*10000),2)&amp;"元整"</f>
        <v>柒仟贰佰陆拾陆万元整</v>
      </c>
      <c r="G119" s="3283"/>
      <c r="H119" s="3282" t="str">
        <f ca="1">NUMBERSTRING(INT(H118*10000),2)&amp;"元整"</f>
        <v>捌仟贰佰肆拾柒万元整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8247</v>
      </c>
      <c r="E122" s="3278"/>
      <c r="F122" s="3278"/>
      <c r="G122" s="3278"/>
      <c r="H122" s="3278"/>
      <c r="I122" s="3279"/>
      <c r="AA122" s="684"/>
    </row>
    <row r="123" spans="1:27" ht="18.75" customHeight="1">
      <c r="A123" s="3276" t="s">
        <v>1452</v>
      </c>
      <c r="B123" s="3276"/>
      <c r="C123" s="3276"/>
      <c r="D123" s="3282" t="str">
        <f ca="1">NUMBERSTRING(INT(D122*10000),2)&amp;"元整"</f>
        <v>捌仟贰佰肆拾柒万元整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19" sqref="M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10114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5899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939</v>
      </c>
      <c r="D5" s="203" t="s">
        <v>1469</v>
      </c>
      <c r="E5" s="204" t="s">
        <v>1470</v>
      </c>
      <c r="F5" s="204" t="s">
        <v>1471</v>
      </c>
      <c r="G5" s="205"/>
    </row>
    <row r="6" spans="1:9" s="206" customFormat="1" ht="13.5" customHeight="1">
      <c r="A6" s="732" t="s">
        <v>1472</v>
      </c>
      <c r="B6" s="207" t="s">
        <v>1473</v>
      </c>
      <c r="C6" s="208">
        <f>基准地价修正!B2</f>
        <v>778</v>
      </c>
      <c r="D6" s="209"/>
      <c r="E6" s="210"/>
      <c r="F6" s="210"/>
      <c r="G6" s="211"/>
    </row>
    <row r="7" spans="1:9" s="206" customFormat="1" ht="13.5" customHeight="1">
      <c r="A7" s="732" t="s">
        <v>1474</v>
      </c>
      <c r="B7" s="207" t="s">
        <v>1475</v>
      </c>
      <c r="C7" s="212">
        <f>ROUND(C6*F7,0)</f>
        <v>24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137</v>
      </c>
      <c r="D8" s="214"/>
      <c r="E8" s="212"/>
      <c r="F8" s="213"/>
      <c r="G8" s="1714" t="s">
        <v>3426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3427</v>
      </c>
      <c r="H9" s="1070"/>
      <c r="I9" s="1716" t="s">
        <v>1479</v>
      </c>
    </row>
    <row r="10" spans="1:9" s="206" customFormat="1" ht="13.5" customHeight="1">
      <c r="A10" s="733" t="s">
        <v>356</v>
      </c>
      <c r="B10" s="216" t="s">
        <v>1480</v>
      </c>
      <c r="C10" s="217">
        <f ca="1">ROUND(D10*E10/10000,0)</f>
        <v>137</v>
      </c>
      <c r="D10" s="795">
        <f ca="1">IF(B1="",'数据-汇总表'!E6,IF(INDIRECT("'数据-取费表'!c"&amp;$G$1)="住宅",INDIRECT("'数据-取费表'!s"&amp;$G$1),INDIRECT("'数据-取费表'!k"&amp;$G$1)+INDIRECT("'数据-取费表'!s"&amp;$G$1)))</f>
        <v>17144.699999999997</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17144.699999999997</v>
      </c>
      <c r="E19" s="203">
        <f>'数据-取费表'!B31</f>
        <v>200</v>
      </c>
      <c r="F19" s="223"/>
      <c r="G19" s="1714" t="s">
        <v>3428</v>
      </c>
    </row>
    <row r="20" spans="1:7" s="206" customFormat="1" ht="13.5" customHeight="1">
      <c r="A20" s="247" t="s">
        <v>1493</v>
      </c>
      <c r="B20" s="202" t="s">
        <v>1494</v>
      </c>
      <c r="C20" s="224">
        <f ca="1">ROUND((C5+C19)*F20,0)</f>
        <v>19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96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96</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1204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7681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6858</v>
      </c>
      <c r="D34" s="209"/>
      <c r="E34" s="212"/>
      <c r="F34" s="249">
        <f ca="1">IF('数据-取费表'!B24=0,1,IF(B1="",'数据-取费表'!N16,INDIRECT("'数据-取费表'!n"&amp;$G$1)))</f>
        <v>1</v>
      </c>
      <c r="G34" s="211" t="s">
        <v>1526</v>
      </c>
    </row>
    <row r="35" spans="1:7" ht="13.5" customHeight="1">
      <c r="A35" s="734" t="s">
        <v>351</v>
      </c>
      <c r="B35" s="207" t="s">
        <v>1527</v>
      </c>
      <c r="C35" s="212">
        <f ca="1">ROUND(C34*F35,0)</f>
        <v>343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343</v>
      </c>
      <c r="D37" s="209">
        <f ca="1">D19</f>
        <v>17144.699999999997</v>
      </c>
      <c r="E37" s="241">
        <f>'数据-取费表'!B35</f>
        <v>200</v>
      </c>
      <c r="F37" s="251"/>
      <c r="G37" s="253" t="s">
        <v>1532</v>
      </c>
    </row>
    <row r="38" spans="1:7" ht="13.5" customHeight="1">
      <c r="A38" s="734" t="s">
        <v>354</v>
      </c>
      <c r="B38" s="207" t="s">
        <v>1533</v>
      </c>
      <c r="C38" s="212">
        <f ca="1">ROUND(C34*F38,0)</f>
        <v>137</v>
      </c>
      <c r="D38" s="212"/>
      <c r="E38" s="212"/>
      <c r="F38" s="251">
        <f>'数据-取费表'!B36</f>
        <v>0.02</v>
      </c>
      <c r="G38" s="211" t="s">
        <v>1528</v>
      </c>
    </row>
    <row r="39" spans="1:7" s="206" customFormat="1" ht="13.5" customHeight="1">
      <c r="A39" s="247" t="s">
        <v>1534</v>
      </c>
      <c r="B39" s="202" t="s">
        <v>1535</v>
      </c>
      <c r="C39" s="224">
        <f ca="1">ROUND(C33*F20,0)</f>
        <v>154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238</v>
      </c>
      <c r="D42" s="230"/>
      <c r="E42" s="230"/>
      <c r="F42" s="231"/>
      <c r="G42" s="3355" t="s">
        <v>1544</v>
      </c>
    </row>
    <row r="43" spans="1:7" ht="13.5" customHeight="1">
      <c r="A43" s="734" t="s">
        <v>347</v>
      </c>
      <c r="B43" s="207" t="s">
        <v>1545</v>
      </c>
      <c r="C43" s="230">
        <f ca="1">ROUND(IF('数据-取费表'!B22&lt;=1,C39*F22*'数据-取费表'!B21/2,C39*(POWER((1+F22),'数据-取费表'!B21/2)-1)),0)</f>
        <v>5</v>
      </c>
      <c r="D43" s="230"/>
      <c r="E43" s="230"/>
      <c r="F43" s="231"/>
      <c r="G43" s="3356"/>
    </row>
    <row r="44" spans="1:7" ht="13.5" customHeight="1">
      <c r="A44" s="734" t="s">
        <v>348</v>
      </c>
      <c r="B44" s="207" t="s">
        <v>1546</v>
      </c>
      <c r="C44" s="230">
        <f ca="1">ROUND(IF('数据-取费表'!B22&lt;=1,C40*F22*'数据-取费表'!B21/2,C40*(POWER((1+F22),'数据-取费表'!B21/2)-1)),4)</f>
        <v>5.9999999999999995E-4</v>
      </c>
      <c r="D44" s="230"/>
      <c r="E44" s="230"/>
      <c r="F44" s="231"/>
      <c r="G44" s="3357"/>
    </row>
    <row r="45" spans="1:7" s="206" customFormat="1" ht="13.5" customHeight="1">
      <c r="A45" s="247" t="s">
        <v>1547</v>
      </c>
      <c r="B45" s="236" t="s">
        <v>1513</v>
      </c>
      <c r="C45" s="237">
        <f ca="1">C46</f>
        <v>784</v>
      </c>
      <c r="D45" s="227">
        <f ca="1">C47</f>
        <v>2E-3</v>
      </c>
      <c r="E45" s="228" t="s">
        <v>1539</v>
      </c>
      <c r="F45" s="238">
        <f ca="1">F27</f>
        <v>0.1</v>
      </c>
      <c r="G45" s="239" t="s">
        <v>1548</v>
      </c>
    </row>
    <row r="46" spans="1:7" s="206" customFormat="1" ht="13.5" customHeight="1">
      <c r="A46" s="734" t="s">
        <v>346</v>
      </c>
      <c r="B46" s="240" t="s">
        <v>1549</v>
      </c>
      <c r="C46" s="241">
        <f ca="1">ROUND((C33+C39)*F27,0)</f>
        <v>784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9581</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8910</v>
      </c>
      <c r="D51" s="224"/>
      <c r="E51" s="224"/>
      <c r="F51" s="256"/>
      <c r="G51" s="226" t="s">
        <v>1560</v>
      </c>
    </row>
    <row r="52" spans="1:7" s="200" customFormat="1" ht="16.5" thickBot="1">
      <c r="A52" s="257" t="s">
        <v>1561</v>
      </c>
      <c r="B52" s="258"/>
      <c r="C52" s="259">
        <f ca="1">C31+C51</f>
        <v>10114</v>
      </c>
      <c r="D52" s="258"/>
      <c r="E52" s="258"/>
      <c r="F52" s="258"/>
      <c r="G52" s="260"/>
    </row>
    <row r="55" spans="1:7" ht="15">
      <c r="B55" s="262" t="s">
        <v>1562</v>
      </c>
      <c r="C55" s="263"/>
    </row>
    <row r="56" spans="1:7">
      <c r="B56" s="265" t="s">
        <v>802</v>
      </c>
      <c r="C56" s="267">
        <f ca="1">1-C57</f>
        <v>0.11899999999999999</v>
      </c>
    </row>
    <row r="57" spans="1:7">
      <c r="B57" s="265" t="s">
        <v>803</v>
      </c>
      <c r="C57" s="266">
        <f ca="1">ROUND(C51/C52,3)</f>
        <v>0.88100000000000001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9523.9364999999998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5555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1371576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1371576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1371576</v>
      </c>
      <c r="D10" s="795">
        <f ca="1">IF(B1="",'数据-汇总表'!E6,IF(INDIRECT("'数据-取费表'!c"&amp;$G$1)="住宅",INDIRECT("'数据-取费表'!s"&amp;$G$1),INDIRECT("'数据-取费表'!k"&amp;$G$1)+INDIRECT("'数据-取费表'!s"&amp;$G$1)))</f>
        <v>17144.699999999997</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3428940</v>
      </c>
      <c r="D19" s="204">
        <f ca="1">D9+D10</f>
        <v>17144.699999999997</v>
      </c>
      <c r="E19" s="203">
        <f>'数据-取费表'!B31</f>
        <v>200</v>
      </c>
      <c r="F19" s="223"/>
      <c r="G19" s="1714"/>
    </row>
    <row r="20" spans="1:7" s="206" customFormat="1" ht="13.5" customHeight="1">
      <c r="A20" s="247" t="s">
        <v>1574</v>
      </c>
      <c r="B20" s="202" t="s">
        <v>1575</v>
      </c>
      <c r="C20" s="224">
        <f ca="1">ROUND((C5+C19)*F20,0)</f>
        <v>96010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305221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86356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215889</v>
      </c>
      <c r="D24" s="230"/>
      <c r="E24" s="230"/>
      <c r="F24" s="231"/>
      <c r="G24" s="232" t="s">
        <v>1586</v>
      </c>
    </row>
    <row r="25" spans="1:7" s="206" customFormat="1" ht="24">
      <c r="A25" s="734" t="s">
        <v>1476</v>
      </c>
      <c r="B25" s="207" t="s">
        <v>1587</v>
      </c>
      <c r="C25" s="230">
        <f ca="1">ROUND(IF('数据-取费表'!B22&lt;=1,C20*F22*'数据-取费表'!B22/2,C20*(POWER((1+F22),'数据-取费表'!B22/2)-1)),0)</f>
        <v>2976</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489653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489653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6152865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76808256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68578800</v>
      </c>
      <c r="D34" s="209"/>
      <c r="E34" s="212"/>
      <c r="F34" s="249"/>
      <c r="G34" s="211"/>
    </row>
    <row r="35" spans="1:7" ht="13.5" customHeight="1">
      <c r="A35" s="734" t="s">
        <v>351</v>
      </c>
      <c r="B35" s="207" t="s">
        <v>1527</v>
      </c>
      <c r="C35" s="212">
        <f ca="1">ROUND(C34*F35,0)</f>
        <v>3428940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3428940</v>
      </c>
      <c r="D37" s="209">
        <f ca="1">D19</f>
        <v>17144.699999999997</v>
      </c>
      <c r="E37" s="241">
        <f>'数据-取费表'!B35</f>
        <v>200</v>
      </c>
      <c r="F37" s="251"/>
      <c r="G37" s="253"/>
    </row>
    <row r="38" spans="1:7" ht="13.5" customHeight="1">
      <c r="A38" s="734" t="s">
        <v>354</v>
      </c>
      <c r="B38" s="207" t="s">
        <v>1533</v>
      </c>
      <c r="C38" s="212">
        <f ca="1">ROUND(C34*F38,0)</f>
        <v>1371576</v>
      </c>
      <c r="D38" s="212"/>
      <c r="E38" s="212"/>
      <c r="F38" s="251">
        <f>'数据-取费表'!B36</f>
        <v>0.02</v>
      </c>
      <c r="G38" s="211" t="s">
        <v>1528</v>
      </c>
    </row>
    <row r="39" spans="1:7" s="206" customFormat="1" ht="13.5" customHeight="1">
      <c r="A39" s="247" t="s">
        <v>1534</v>
      </c>
      <c r="B39" s="202" t="s">
        <v>1535</v>
      </c>
      <c r="C39" s="224">
        <f ca="1">ROUND(C33*F20,0)</f>
        <v>1536165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2428677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2381056</v>
      </c>
      <c r="D42" s="230"/>
      <c r="E42" s="230"/>
      <c r="F42" s="231"/>
      <c r="G42" s="3355" t="s">
        <v>1591</v>
      </c>
    </row>
    <row r="43" spans="1:7" ht="13.5" customHeight="1">
      <c r="A43" s="734" t="s">
        <v>347</v>
      </c>
      <c r="B43" s="207" t="s">
        <v>1545</v>
      </c>
      <c r="C43" s="230">
        <f ca="1">ROUND(IF('数据-取费表'!B22&lt;=1,C39*F22*'数据-取费表'!B20/2,C39*(POWER((1+F22),'数据-取费表'!B20/2)-1)),0)</f>
        <v>47621</v>
      </c>
      <c r="D43" s="230"/>
      <c r="E43" s="230"/>
      <c r="F43" s="231"/>
      <c r="G43" s="3356"/>
    </row>
    <row r="44" spans="1:7" ht="13.5" customHeight="1">
      <c r="A44" s="734" t="s">
        <v>348</v>
      </c>
      <c r="B44" s="207" t="s">
        <v>1546</v>
      </c>
      <c r="C44" s="230">
        <f ca="1">ROUND(IF('数据-取费表'!B22&lt;=1,C40*F22*'数据-取费表'!B20/2,C40*(POWER((1+F22),'数据-取费表'!B20/2)-1)),4)</f>
        <v>5.9999999999999995E-4</v>
      </c>
      <c r="D44" s="230"/>
      <c r="E44" s="230"/>
      <c r="F44" s="231"/>
      <c r="G44" s="3357"/>
    </row>
    <row r="45" spans="1:7" s="206" customFormat="1" ht="13.5" customHeight="1">
      <c r="A45" s="247" t="s">
        <v>1547</v>
      </c>
      <c r="B45" s="236" t="s">
        <v>1513</v>
      </c>
      <c r="C45" s="237">
        <f ca="1">C46</f>
        <v>7834442</v>
      </c>
      <c r="D45" s="227">
        <f ca="1">C47</f>
        <v>2E-3</v>
      </c>
      <c r="E45" s="228" t="s">
        <v>1539</v>
      </c>
      <c r="F45" s="238">
        <f ca="1">F27</f>
        <v>0.1</v>
      </c>
      <c r="G45" s="239" t="s">
        <v>1548</v>
      </c>
    </row>
    <row r="46" spans="1:7" s="206" customFormat="1" ht="13.5" customHeight="1">
      <c r="A46" s="734" t="s">
        <v>346</v>
      </c>
      <c r="B46" s="240" t="s">
        <v>1549</v>
      </c>
      <c r="C46" s="241">
        <f ca="1">ROUND((C33+C39)*F27,0)</f>
        <v>7834442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95791935</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89086500</v>
      </c>
      <c r="D51" s="224"/>
      <c r="E51" s="224"/>
      <c r="F51" s="256"/>
      <c r="G51" s="226" t="s">
        <v>1560</v>
      </c>
    </row>
    <row r="52" spans="1:7" s="200" customFormat="1" ht="16.5" thickBot="1">
      <c r="A52" s="257" t="s">
        <v>1561</v>
      </c>
      <c r="B52" s="258"/>
      <c r="C52" s="259">
        <f ca="1">C31+C51</f>
        <v>95239365</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17144.699999999997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17144.699999999997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137</v>
      </c>
      <c r="D20" s="796">
        <f ca="1">IF(C1="",'数据-汇总表'!E6,IF(INDIRECT("'数据-取费表'!c"&amp;$K$1)="住宅",INDIRECT("'数据-取费表'!s"&amp;$K$1),INDIRECT("'数据-取费表'!k"&amp;$K$1)+INDIRECT("'数据-取费表'!s"&amp;$K$1)))</f>
        <v>17144.699999999997</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14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7003</v>
      </c>
      <c r="C2" s="1289" t="s">
        <v>805</v>
      </c>
      <c r="D2" s="1289"/>
      <c r="E2" s="1295"/>
      <c r="F2" s="1296"/>
      <c r="G2" s="2479"/>
      <c r="H2" s="2469"/>
      <c r="I2" s="2469"/>
      <c r="J2" s="2469"/>
      <c r="K2" s="2470"/>
      <c r="L2" s="2469"/>
      <c r="M2" s="2469"/>
    </row>
    <row r="3" spans="1:37" ht="18" customHeight="1" thickBot="1">
      <c r="A3" s="1297" t="s">
        <v>806</v>
      </c>
      <c r="B3" s="1298">
        <f ca="1">IF(ISERROR(B2*10000/F43),0,ROUND(B2*10000/F43,0))</f>
        <v>4085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564</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563</v>
      </c>
      <c r="D6" s="147" t="s">
        <v>2108</v>
      </c>
      <c r="E6" s="294" t="s">
        <v>696</v>
      </c>
      <c r="F6" s="295">
        <f ca="1">INDIRECT("'数据-取费表'!u"&amp;$G$1)</f>
        <v>1</v>
      </c>
      <c r="G6" s="1292"/>
      <c r="H6" s="1006" t="s">
        <v>398</v>
      </c>
      <c r="I6" s="3360" t="s">
        <v>694</v>
      </c>
      <c r="J6" s="293">
        <f ca="1">ROUND(M6*M8*M7*(1-M9)/10000,0)</f>
        <v>0</v>
      </c>
      <c r="K6" s="147"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17144.699999999997</v>
      </c>
      <c r="G7" s="1292"/>
      <c r="H7" s="296"/>
      <c r="I7" s="3361"/>
      <c r="J7" s="298"/>
      <c r="K7" s="299"/>
      <c r="L7" s="294" t="s">
        <v>697</v>
      </c>
      <c r="M7" s="295">
        <f ca="1">F7</f>
        <v>17144.699999999997</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3430</v>
      </c>
      <c r="G10" s="1292"/>
      <c r="H10" s="1006" t="s">
        <v>402</v>
      </c>
      <c r="I10" s="1274" t="s">
        <v>700</v>
      </c>
      <c r="J10" s="293">
        <f ca="1">ROUND(IF(M10="押一",J6/12*M11,IF(M10="押二",J6/12*2*M11,IF(M10="押三",J6/12*3*M11,J11*M11))),0)</f>
        <v>0</v>
      </c>
      <c r="K10" s="150" t="s">
        <v>2115</v>
      </c>
      <c r="L10" s="305" t="s">
        <v>701</v>
      </c>
      <c r="M10" s="1053" t="s">
        <v>3430</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8910</v>
      </c>
      <c r="D13" s="1018" t="s">
        <v>705</v>
      </c>
      <c r="E13" s="1018" t="s">
        <v>706</v>
      </c>
      <c r="F13" s="1019">
        <f ca="1">INDIRECT("'数据-取费表'!y"&amp;$G$1)</f>
        <v>0.93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6858</v>
      </c>
      <c r="D14" s="1257" t="s">
        <v>708</v>
      </c>
      <c r="E14" s="1255"/>
      <c r="F14" s="311"/>
      <c r="G14" s="1292"/>
      <c r="H14" s="928" t="s">
        <v>398</v>
      </c>
      <c r="I14" s="294" t="s">
        <v>709</v>
      </c>
      <c r="J14" s="21">
        <f ca="1">C29</f>
        <v>9581</v>
      </c>
      <c r="K14" s="12"/>
      <c r="L14" s="759"/>
      <c r="M14" s="760"/>
    </row>
    <row r="15" spans="1:37" s="1304" customFormat="1" ht="18" customHeight="1" thickBot="1">
      <c r="A15" s="928" t="s">
        <v>399</v>
      </c>
      <c r="B15" s="294" t="s">
        <v>710</v>
      </c>
      <c r="C15" s="21">
        <f ca="1">ROUND(C14*F15,0)</f>
        <v>343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22</v>
      </c>
      <c r="K16" s="1024" t="s">
        <v>715</v>
      </c>
      <c r="L16" s="1025"/>
      <c r="M16" s="1009"/>
    </row>
    <row r="17" spans="1:37" s="1304" customFormat="1" ht="18" customHeight="1">
      <c r="A17" s="928" t="s">
        <v>681</v>
      </c>
      <c r="B17" s="294" t="s">
        <v>716</v>
      </c>
      <c r="C17" s="21">
        <f ca="1">ROUND(F17*(F43+INDIRECT("'数据-取费表'!S"&amp;$G$1))/10000,0)</f>
        <v>343</v>
      </c>
      <c r="D17" s="294" t="s">
        <v>717</v>
      </c>
      <c r="E17" s="294" t="s">
        <v>718</v>
      </c>
      <c r="F17" s="23">
        <f>'数据-取费表'!B35</f>
        <v>200</v>
      </c>
      <c r="G17" s="1303"/>
      <c r="H17" s="928" t="s">
        <v>398</v>
      </c>
      <c r="I17" s="294" t="s">
        <v>719</v>
      </c>
      <c r="J17" s="2140">
        <f ca="1">ROUND(IF(AND(项目基本情况!B11="自然人",项目基本情况!B10="北京市"),J6*M17/(1+'数据-取费表'!C42),J18+J19+J20),2)</f>
        <v>2.6</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7681</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154</v>
      </c>
      <c r="D20" s="315" t="s">
        <v>729</v>
      </c>
      <c r="E20" s="294" t="s">
        <v>712</v>
      </c>
      <c r="F20" s="314">
        <f>'数据-取费表'!B37</f>
        <v>0.02</v>
      </c>
      <c r="G20" s="1303"/>
      <c r="H20" s="928" t="s">
        <v>680</v>
      </c>
      <c r="I20" s="147" t="s">
        <v>730</v>
      </c>
      <c r="J20" s="22">
        <f ca="1">ROUND(M20*M21/10000,2)</f>
        <v>2.6</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17333.330000000002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19.16</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243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-22</v>
      </c>
      <c r="K25" s="1032" t="s">
        <v>753</v>
      </c>
      <c r="L25" s="1033"/>
      <c r="M25" s="1034"/>
    </row>
    <row r="26" spans="1:37">
      <c r="A26" s="928" t="s">
        <v>397</v>
      </c>
      <c r="B26" s="294" t="s">
        <v>754</v>
      </c>
      <c r="C26" s="21">
        <f ca="1">ROUND((C19+C20)*F26,0)</f>
        <v>784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9581</v>
      </c>
      <c r="D29" s="1029"/>
      <c r="E29" s="1027"/>
      <c r="F29" s="1030"/>
      <c r="G29" s="1303"/>
      <c r="H29" s="325" t="s">
        <v>396</v>
      </c>
      <c r="I29" s="326" t="s">
        <v>768</v>
      </c>
      <c r="J29" s="327">
        <f ca="1">ROUND(J26/(1+F40)^F41,0)</f>
        <v>0</v>
      </c>
      <c r="K29" s="328" t="s">
        <v>769</v>
      </c>
      <c r="L29" s="329"/>
      <c r="M29" s="330">
        <f ca="1">INDIRECT("'数据-取费表'!k"&amp;$G$1)</f>
        <v>17144.699999999997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96.43</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29.49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64.34</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2.6</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17333.330000000002</v>
      </c>
      <c r="G35" s="1292"/>
      <c r="H35" s="2471"/>
      <c r="I35" s="1305"/>
      <c r="J35" s="1306"/>
      <c r="K35" s="2475"/>
      <c r="L35" s="2474"/>
      <c r="M35" s="2474"/>
    </row>
    <row r="36" spans="1:18" ht="18" customHeight="1">
      <c r="A36" s="1039" t="s">
        <v>402</v>
      </c>
      <c r="B36" s="294" t="s">
        <v>738</v>
      </c>
      <c r="C36" s="21">
        <f ca="1">ROUND(C29*F36,2)</f>
        <v>19.16</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8.91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2.82</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437</v>
      </c>
      <c r="D39" s="1032" t="s">
        <v>773</v>
      </c>
      <c r="E39" s="1033"/>
      <c r="F39" s="1034"/>
      <c r="G39" s="1292"/>
      <c r="H39" s="2474"/>
      <c r="I39" s="1305"/>
      <c r="J39" s="1306"/>
      <c r="K39" s="2472"/>
      <c r="L39" s="2474"/>
      <c r="M39" s="2474"/>
    </row>
    <row r="40" spans="1:18" ht="18" customHeight="1">
      <c r="A40" s="291" t="s">
        <v>395</v>
      </c>
      <c r="B40" s="292" t="s">
        <v>774</v>
      </c>
      <c r="C40" s="293">
        <f ca="1">ROUND(C39*(1-((1+F42)/(1+F40))^F41)/(F40-F42),0)</f>
        <v>4566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14</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2663</v>
      </c>
      <c r="D43" s="328" t="s">
        <v>777</v>
      </c>
      <c r="E43" s="329" t="s">
        <v>778</v>
      </c>
      <c r="F43" s="330">
        <f ca="1">INDIRECT("'数据-取费表'!k"&amp;$G$1)</f>
        <v>17144.699999999997</v>
      </c>
      <c r="G43" s="1292"/>
      <c r="H43" s="121"/>
      <c r="I43" s="121"/>
      <c r="J43" s="121"/>
      <c r="K43" s="2331"/>
      <c r="L43" s="121"/>
      <c r="M43" s="121"/>
    </row>
    <row r="44" spans="1:18" s="1292" customFormat="1" ht="18" customHeight="1">
      <c r="A44" s="1307"/>
      <c r="B44" s="1307"/>
      <c r="C44" s="1308"/>
      <c r="D44" s="1307"/>
      <c r="E44" s="1307"/>
      <c r="F44" s="1307"/>
      <c r="H44" s="1292">
        <f ca="1">B2</f>
        <v>7003</v>
      </c>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f ca="1">IF(M47="住宅",0,IF(L48&gt;J51,L60,J60))</f>
        <v>2437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20</v>
      </c>
      <c r="M47" s="1288" t="str">
        <f>IF(ISNUMBER(FIND("住宅",C1)),"住宅","非住宅")</f>
        <v>非住宅</v>
      </c>
      <c r="O47" s="1325" t="s">
        <v>403</v>
      </c>
      <c r="P47" s="1326" t="s">
        <v>817</v>
      </c>
      <c r="Q47" s="1327">
        <f ca="1">C40+J29</f>
        <v>4566</v>
      </c>
      <c r="R47" s="1327" t="s">
        <v>818</v>
      </c>
    </row>
    <row r="48" spans="1:18" s="1292" customFormat="1" ht="28.5" thickBot="1">
      <c r="A48" s="1047" t="s">
        <v>438</v>
      </c>
      <c r="B48" s="292" t="s">
        <v>692</v>
      </c>
      <c r="C48" s="1268">
        <f ca="1">C49+C53+C55</f>
        <v>564</v>
      </c>
      <c r="D48" s="1049"/>
      <c r="E48" s="1050"/>
      <c r="F48" s="908"/>
      <c r="G48" s="681"/>
      <c r="H48" s="682"/>
      <c r="I48" s="1328" t="s">
        <v>819</v>
      </c>
      <c r="J48" s="1329" t="s">
        <v>3432</v>
      </c>
      <c r="K48" s="1330" t="s">
        <v>820</v>
      </c>
      <c r="L48" s="1331">
        <f ca="1">INDIRECT("'数据-取费表'!f"&amp;$G$1)</f>
        <v>14</v>
      </c>
      <c r="O48" s="1325" t="s">
        <v>404</v>
      </c>
      <c r="P48" s="1326" t="s">
        <v>821</v>
      </c>
      <c r="Q48" s="1327">
        <f ca="1">J60</f>
        <v>2437</v>
      </c>
      <c r="R48" s="1327" t="s">
        <v>822</v>
      </c>
    </row>
    <row r="49" spans="1:18" s="1292" customFormat="1" ht="13.5" thickBot="1">
      <c r="A49" s="921" t="s">
        <v>439</v>
      </c>
      <c r="B49" s="1279" t="s">
        <v>779</v>
      </c>
      <c r="C49" s="1051">
        <f ca="1">ROUND(F49*F51*F50*(1-F52)/10000,0)</f>
        <v>563</v>
      </c>
      <c r="D49" s="992" t="s">
        <v>2109</v>
      </c>
      <c r="E49" s="1280" t="s">
        <v>780</v>
      </c>
      <c r="F49" s="997">
        <f>租约!P17</f>
        <v>1</v>
      </c>
      <c r="H49" s="682"/>
      <c r="I49" s="1328" t="s">
        <v>823</v>
      </c>
      <c r="J49" s="1332">
        <v>2021</v>
      </c>
      <c r="K49" s="1330" t="s">
        <v>824</v>
      </c>
      <c r="L49" s="1333"/>
      <c r="O49" s="1334" t="s">
        <v>405</v>
      </c>
      <c r="P49" s="1326" t="s">
        <v>825</v>
      </c>
      <c r="Q49" s="1327">
        <f ca="1">C29</f>
        <v>9581</v>
      </c>
      <c r="R49" s="1327" t="s">
        <v>818</v>
      </c>
    </row>
    <row r="50" spans="1:18" s="1292" customFormat="1" ht="13.5" thickBot="1">
      <c r="A50" s="922"/>
      <c r="B50" s="925"/>
      <c r="C50" s="1055"/>
      <c r="D50" s="899"/>
      <c r="E50" s="993" t="s">
        <v>697</v>
      </c>
      <c r="F50" s="994">
        <f ca="1">F7</f>
        <v>17144.699999999997</v>
      </c>
      <c r="H50" s="682"/>
      <c r="I50" s="1328" t="s">
        <v>826</v>
      </c>
      <c r="J50" s="1335">
        <f>SUMPRODUCT((I63:I65=J47)*(J62:L62=J48)*(J63:L65))</f>
        <v>60</v>
      </c>
      <c r="K50" s="1330" t="s">
        <v>827</v>
      </c>
      <c r="L50" s="1333"/>
      <c r="M50" s="1336"/>
      <c r="O50" s="1334" t="s">
        <v>406</v>
      </c>
      <c r="P50" s="1326" t="s">
        <v>828</v>
      </c>
      <c r="Q50" s="1337">
        <f ca="1">J58</f>
        <v>0.7</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-3491</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14</v>
      </c>
      <c r="R52" s="1327" t="s">
        <v>835</v>
      </c>
    </row>
    <row r="53" spans="1:18" s="1292" customFormat="1" ht="24.75" thickBot="1">
      <c r="A53" s="1079" t="s">
        <v>440</v>
      </c>
      <c r="B53" s="1281" t="s">
        <v>700</v>
      </c>
      <c r="C53" s="308">
        <f ca="1">ROUND(IF(F53="押一",C49/12*F11,IF(F53="押二",C49/12*2*F11,IF(F53="押三",C49/12*3*F11,C54*F11))),0)</f>
        <v>1</v>
      </c>
      <c r="D53" s="150" t="s">
        <v>2115</v>
      </c>
      <c r="E53" s="305" t="s">
        <v>701</v>
      </c>
      <c r="F53" s="1053" t="s">
        <v>3430</v>
      </c>
      <c r="I53" s="1344" t="s">
        <v>836</v>
      </c>
      <c r="J53" s="2006">
        <f ca="1">IF(M47="住宅",IF(D1="——",MAX(J51,L48),MAX(J51,L48-'数据-取费表'!B24)),IF(D1="——",MIN(J51,L48),MIN(J51,L48-'数据-取费表'!B24)))</f>
        <v>14</v>
      </c>
      <c r="K53" s="3358" t="s">
        <v>837</v>
      </c>
      <c r="L53" s="3359"/>
      <c r="O53" s="1325" t="s">
        <v>409</v>
      </c>
      <c r="P53" s="1326" t="s">
        <v>838</v>
      </c>
      <c r="Q53" s="1327">
        <f ca="1">Q47+Q48</f>
        <v>7003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0.7</v>
      </c>
      <c r="K55" s="1350" t="s">
        <v>841</v>
      </c>
      <c r="L55" s="1351"/>
      <c r="O55" s="1318" t="s">
        <v>811</v>
      </c>
      <c r="P55" s="1319" t="s">
        <v>812</v>
      </c>
      <c r="Q55" s="1320" t="s">
        <v>813</v>
      </c>
      <c r="R55" s="1320" t="s">
        <v>814</v>
      </c>
    </row>
    <row r="56" spans="1:18" s="1292" customFormat="1" ht="25.5" thickTop="1" thickBot="1">
      <c r="A56" s="903">
        <v>2</v>
      </c>
      <c r="B56" s="904" t="s">
        <v>704</v>
      </c>
      <c r="C56" s="224">
        <f ca="1">C13</f>
        <v>8910</v>
      </c>
      <c r="D56" s="1352"/>
      <c r="E56" s="1353"/>
      <c r="F56" s="1345"/>
      <c r="I56" s="1354" t="s">
        <v>842</v>
      </c>
      <c r="J56" s="1355" t="s">
        <v>3433</v>
      </c>
      <c r="K56" s="1328" t="s">
        <v>843</v>
      </c>
      <c r="L56" s="1331" t="str">
        <f ca="1">IF(L48&lt;J51,"——",L48-J53)</f>
        <v>——</v>
      </c>
      <c r="O56" s="1325" t="s">
        <v>403</v>
      </c>
      <c r="P56" s="1326" t="s">
        <v>817</v>
      </c>
      <c r="Q56" s="1327">
        <f ca="1">C40+J29</f>
        <v>4566</v>
      </c>
      <c r="R56" s="1327" t="s">
        <v>818</v>
      </c>
    </row>
    <row r="57" spans="1:18" s="1292" customFormat="1" ht="24.75" thickBot="1">
      <c r="A57" s="1356"/>
      <c r="B57" s="896" t="s">
        <v>767</v>
      </c>
      <c r="C57" s="230">
        <f ca="1">C29</f>
        <v>9581</v>
      </c>
      <c r="D57" s="1357"/>
      <c r="E57" s="1358"/>
      <c r="F57" s="1359"/>
      <c r="I57" s="1360" t="s">
        <v>844</v>
      </c>
      <c r="J57" s="1361">
        <f ca="1">IF(OR(M47="住宅",J51&lt;L48,J56="是"),"——",J51-L48)</f>
        <v>42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127</v>
      </c>
      <c r="D58" s="906" t="s">
        <v>715</v>
      </c>
      <c r="E58" s="907"/>
      <c r="F58" s="908"/>
      <c r="I58" s="1360" t="s">
        <v>848</v>
      </c>
      <c r="J58" s="1362">
        <f ca="1">IF(J55&lt;0.4,0.4,J55)</f>
        <v>0.7</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96</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6707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29.54</v>
      </c>
      <c r="D60" s="910" t="s">
        <v>724</v>
      </c>
      <c r="E60" s="896" t="s">
        <v>712</v>
      </c>
      <c r="F60" s="322">
        <f t="shared" ref="F60:F66" si="0">F32</f>
        <v>5.5000000000000007E-2</v>
      </c>
      <c r="I60" s="1363" t="s">
        <v>853</v>
      </c>
      <c r="J60" s="1364">
        <f ca="1">IF(OR(M47="住宅",J51&lt;L48,J56="是"),"0",ROUND(J59/(1+J52)^J53,0))</f>
        <v>2437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64.34</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2.6</v>
      </c>
      <c r="D62" s="911" t="s">
        <v>786</v>
      </c>
      <c r="E62" s="896" t="s">
        <v>787</v>
      </c>
      <c r="F62" s="317">
        <f t="shared" si="0"/>
        <v>1.5</v>
      </c>
      <c r="I62" s="1367" t="s">
        <v>858</v>
      </c>
      <c r="J62" s="610" t="s">
        <v>859</v>
      </c>
      <c r="K62" s="610" t="s">
        <v>860</v>
      </c>
      <c r="L62" s="610" t="s">
        <v>861</v>
      </c>
      <c r="M62" s="1368" t="s">
        <v>862</v>
      </c>
      <c r="O62" s="1325" t="s">
        <v>409</v>
      </c>
      <c r="P62" s="1326" t="s">
        <v>863</v>
      </c>
      <c r="Q62" s="1327">
        <f ca="1">Q56+Q57</f>
        <v>4566</v>
      </c>
      <c r="R62" s="1327" t="s">
        <v>410</v>
      </c>
    </row>
    <row r="63" spans="1:18" s="1292" customFormat="1" ht="13.5" thickBot="1">
      <c r="A63" s="318"/>
      <c r="B63" s="902"/>
      <c r="C63" s="26"/>
      <c r="D63" s="912"/>
      <c r="E63" s="896" t="s">
        <v>788</v>
      </c>
      <c r="F63" s="295">
        <f t="shared" ca="1" si="0"/>
        <v>17333.330000000002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19.16</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8.91</v>
      </c>
      <c r="D65" s="910" t="s">
        <v>743</v>
      </c>
      <c r="E65" s="896" t="s">
        <v>744</v>
      </c>
      <c r="F65" s="321">
        <f t="shared" ca="1" si="0"/>
        <v>1E-3</v>
      </c>
      <c r="I65" s="1367" t="s">
        <v>867</v>
      </c>
      <c r="J65" s="610">
        <v>40</v>
      </c>
      <c r="K65" s="610">
        <v>30</v>
      </c>
      <c r="L65" s="610">
        <v>50</v>
      </c>
      <c r="M65" s="1369">
        <v>0.02</v>
      </c>
      <c r="O65" s="1325" t="s">
        <v>403</v>
      </c>
      <c r="P65" s="1326" t="s">
        <v>868</v>
      </c>
      <c r="Q65" s="1327">
        <f ca="1">C40+J29</f>
        <v>4566</v>
      </c>
      <c r="R65" s="1327" t="s">
        <v>818</v>
      </c>
    </row>
    <row r="66" spans="1:18" s="1292" customFormat="1" ht="16.5" thickBot="1">
      <c r="A66" s="928" t="s">
        <v>793</v>
      </c>
      <c r="B66" s="896" t="s">
        <v>728</v>
      </c>
      <c r="C66" s="21">
        <f ca="1">ROUND(C48*F66,2)</f>
        <v>2.82</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437</v>
      </c>
      <c r="D67" s="909" t="s">
        <v>753</v>
      </c>
      <c r="E67" s="914"/>
      <c r="F67" s="915"/>
      <c r="O67" s="1334" t="s">
        <v>405</v>
      </c>
      <c r="P67" s="1326" t="s">
        <v>850</v>
      </c>
      <c r="Q67" s="1370">
        <f ca="1">L51</f>
        <v>-3491</v>
      </c>
      <c r="R67" s="1327" t="s">
        <v>870</v>
      </c>
    </row>
    <row r="68" spans="1:18" s="1292" customFormat="1" ht="16.5" thickBot="1">
      <c r="A68" s="893" t="s">
        <v>395</v>
      </c>
      <c r="B68" s="894" t="s">
        <v>774</v>
      </c>
      <c r="C68" s="293">
        <f ca="1">ROUND(C67*(1-((1+F70)/(1+F68))^F69)/(F68-F70),0)</f>
        <v>4566</v>
      </c>
      <c r="D68" s="911" t="s">
        <v>758</v>
      </c>
      <c r="E68" s="896" t="s">
        <v>759</v>
      </c>
      <c r="F68" s="304">
        <f ca="1">F40</f>
        <v>5.5E-2</v>
      </c>
      <c r="O68" s="1334" t="s">
        <v>406</v>
      </c>
      <c r="P68" s="1371" t="s">
        <v>871</v>
      </c>
      <c r="Q68" s="1327">
        <f ca="1">ROUND(Q69-Q70*Q71,0)</f>
        <v>-187</v>
      </c>
      <c r="R68" s="1327" t="s">
        <v>414</v>
      </c>
    </row>
    <row r="69" spans="1:18" s="1292" customFormat="1" ht="13.5" thickBot="1">
      <c r="A69" s="897"/>
      <c r="B69" s="898"/>
      <c r="C69" s="298"/>
      <c r="D69" s="916" t="s">
        <v>762</v>
      </c>
      <c r="E69" s="896" t="s">
        <v>763</v>
      </c>
      <c r="F69" s="324">
        <f ca="1">F41</f>
        <v>14</v>
      </c>
      <c r="O69" s="1334" t="s">
        <v>411</v>
      </c>
      <c r="P69" s="1371" t="s">
        <v>872</v>
      </c>
      <c r="Q69" s="1327">
        <f ca="1">C39</f>
        <v>437</v>
      </c>
      <c r="R69" s="1327" t="s">
        <v>818</v>
      </c>
    </row>
    <row r="70" spans="1:18" s="1292" customFormat="1" ht="13.5" thickBot="1">
      <c r="A70" s="900"/>
      <c r="B70" s="901"/>
      <c r="C70" s="302"/>
      <c r="D70" s="912"/>
      <c r="E70" s="896" t="s">
        <v>766</v>
      </c>
      <c r="F70" s="991">
        <v>1.4999999999999999E-2</v>
      </c>
      <c r="O70" s="1334" t="s">
        <v>412</v>
      </c>
      <c r="P70" s="1371" t="s">
        <v>873</v>
      </c>
      <c r="Q70" s="1327">
        <f ca="1">C13</f>
        <v>8910</v>
      </c>
      <c r="R70" s="1327" t="s">
        <v>818</v>
      </c>
    </row>
    <row r="71" spans="1:18" s="1292" customFormat="1" ht="13.5" thickBot="1">
      <c r="A71" s="917" t="s">
        <v>396</v>
      </c>
      <c r="B71" s="918" t="s">
        <v>776</v>
      </c>
      <c r="C71" s="327">
        <f ca="1">ROUND(C68*10000/F71,0)</f>
        <v>2663</v>
      </c>
      <c r="D71" s="919" t="s">
        <v>777</v>
      </c>
      <c r="E71" s="920" t="s">
        <v>778</v>
      </c>
      <c r="F71" s="330">
        <f ca="1">F43</f>
        <v>17144.699999999997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624</v>
      </c>
      <c r="D75" s="1292"/>
      <c r="E75" s="1292"/>
      <c r="F75" s="1292"/>
      <c r="K75" s="1309"/>
      <c r="L75" s="1292"/>
      <c r="O75" s="1325" t="s">
        <v>409</v>
      </c>
      <c r="P75" s="1326" t="s">
        <v>838</v>
      </c>
      <c r="Q75" s="1327">
        <f ca="1">Q65+Q66</f>
        <v>4566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-0.42799999999999994</v>
      </c>
    </row>
    <row r="80" spans="1:18">
      <c r="B80" s="331" t="s">
        <v>800</v>
      </c>
      <c r="C80" s="266">
        <f ca="1">ROUND(C75/C39,3)</f>
        <v>1.4279999999999999</v>
      </c>
    </row>
    <row r="81" spans="2:3">
      <c r="B81" s="262" t="s">
        <v>801</v>
      </c>
      <c r="C81" s="230"/>
    </row>
    <row r="82" spans="2:3">
      <c r="B82" s="265" t="s">
        <v>802</v>
      </c>
      <c r="C82" s="267">
        <f ca="1">1-C83</f>
        <v>-0.95100000000000007</v>
      </c>
    </row>
    <row r="83" spans="2:3">
      <c r="B83" s="265" t="s">
        <v>803</v>
      </c>
      <c r="C83" s="266">
        <f ca="1">ROUND(C13/C40,3)</f>
        <v>1.9510000000000001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2105</v>
      </c>
      <c r="E6" s="294" t="s">
        <v>696</v>
      </c>
      <c r="F6" s="295">
        <f ca="1">INDIRECT("'数据-取费表'!u"&amp;$G$1)</f>
        <v>0</v>
      </c>
      <c r="G6" s="1292"/>
      <c r="H6" s="1006" t="s">
        <v>398</v>
      </c>
      <c r="I6" s="3360" t="s">
        <v>694</v>
      </c>
      <c r="J6" s="293">
        <f ca="1">ROUND(M6*M8*M7*(1-M9),0)</f>
        <v>0</v>
      </c>
      <c r="K6" s="1284" t="s">
        <v>2106</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63" t="s">
        <v>2316</v>
      </c>
      <c r="K2" s="336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65" t="s">
        <v>2326</v>
      </c>
      <c r="K3" s="336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65" t="s">
        <v>2328</v>
      </c>
      <c r="K4" s="336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67" t="s">
        <v>2332</v>
      </c>
      <c r="B6" s="3368"/>
      <c r="C6" s="3369"/>
      <c r="D6" s="2622"/>
      <c r="E6" s="2623"/>
      <c r="F6" s="2624"/>
      <c r="G6" s="2625"/>
      <c r="H6" s="2600"/>
      <c r="I6" s="2601"/>
      <c r="J6" s="3370">
        <v>1</v>
      </c>
      <c r="K6" s="337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70"/>
      <c r="K7" s="337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74" t="s">
        <v>2346</v>
      </c>
      <c r="C8" s="3375"/>
      <c r="D8" s="2641" t="s">
        <v>2347</v>
      </c>
      <c r="E8" s="2642" t="s">
        <v>2348</v>
      </c>
      <c r="F8" s="2643" t="s">
        <v>2349</v>
      </c>
      <c r="G8" s="2644"/>
      <c r="H8" s="2600"/>
      <c r="I8" s="2601"/>
      <c r="J8" s="3370"/>
      <c r="K8" s="337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74" t="s">
        <v>2352</v>
      </c>
      <c r="C9" s="3375"/>
      <c r="D9" s="2641">
        <f>ROUND(D6*E9,0)</f>
        <v>0</v>
      </c>
      <c r="E9" s="2645"/>
      <c r="F9" s="2646" t="s">
        <v>2353</v>
      </c>
      <c r="G9" s="2625"/>
      <c r="H9" s="2600"/>
      <c r="I9" s="2601"/>
      <c r="J9" s="3370"/>
      <c r="K9" s="3372"/>
      <c r="L9" s="2635" t="s">
        <v>2354</v>
      </c>
      <c r="M9" s="2636"/>
      <c r="N9" s="2612"/>
      <c r="O9" s="2637"/>
      <c r="P9" s="2637"/>
      <c r="Q9" s="2638">
        <v>365</v>
      </c>
      <c r="R9" s="2639">
        <f t="shared" si="0"/>
        <v>0</v>
      </c>
      <c r="S9" s="2593"/>
      <c r="T9" s="2593"/>
      <c r="U9" s="2593"/>
      <c r="V9" s="2601"/>
    </row>
    <row r="10" spans="1:22" s="2605" customFormat="1" ht="13.15" customHeight="1">
      <c r="A10" s="2640">
        <v>2</v>
      </c>
      <c r="B10" s="3374" t="s">
        <v>2355</v>
      </c>
      <c r="C10" s="3375"/>
      <c r="D10" s="2641">
        <f>ROUND(D6*E10,0)</f>
        <v>0</v>
      </c>
      <c r="E10" s="2645"/>
      <c r="F10" s="2646" t="s">
        <v>2356</v>
      </c>
      <c r="G10" s="2625"/>
      <c r="H10" s="2600"/>
      <c r="I10" s="2601"/>
      <c r="J10" s="3370"/>
      <c r="K10" s="3372"/>
      <c r="L10" s="2635" t="s">
        <v>2357</v>
      </c>
      <c r="M10" s="2636"/>
      <c r="N10" s="2612"/>
      <c r="O10" s="2637"/>
      <c r="P10" s="2637"/>
      <c r="Q10" s="2638">
        <v>365</v>
      </c>
      <c r="R10" s="2639">
        <f t="shared" si="0"/>
        <v>0</v>
      </c>
      <c r="S10" s="2593"/>
      <c r="T10" s="2593"/>
      <c r="U10" s="2593"/>
      <c r="V10" s="2601"/>
    </row>
    <row r="11" spans="1:22" s="2605" customFormat="1" ht="13.15" customHeight="1">
      <c r="A11" s="2640">
        <v>3</v>
      </c>
      <c r="B11" s="3374" t="s">
        <v>2358</v>
      </c>
      <c r="C11" s="3375"/>
      <c r="D11" s="2641">
        <f>D12+D14+D15+D16</f>
        <v>0</v>
      </c>
      <c r="E11" s="2647" t="e">
        <f>D11/D6</f>
        <v>#DIV/0!</v>
      </c>
      <c r="F11" s="2643"/>
      <c r="G11" s="2644"/>
      <c r="H11" s="2600"/>
      <c r="I11" s="2601"/>
      <c r="J11" s="3370"/>
      <c r="K11" s="337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76" t="s">
        <v>2361</v>
      </c>
      <c r="C12" s="3377"/>
      <c r="D12" s="2649">
        <f>ROUND(D13*1.2%*(1-30%),0)</f>
        <v>0</v>
      </c>
      <c r="E12" s="2650">
        <v>1.2E-2</v>
      </c>
      <c r="F12" s="2643" t="s">
        <v>2362</v>
      </c>
      <c r="G12" s="2644"/>
      <c r="H12" s="2600"/>
      <c r="I12" s="2601"/>
      <c r="J12" s="3370"/>
      <c r="K12" s="337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70"/>
      <c r="K13" s="337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76" t="s">
        <v>2367</v>
      </c>
      <c r="C14" s="3377"/>
      <c r="D14" s="2649">
        <f>ROUND(E14*B5/10000,0)</f>
        <v>0</v>
      </c>
      <c r="E14" s="2638"/>
      <c r="F14" s="2643" t="s">
        <v>2368</v>
      </c>
      <c r="G14" s="2644"/>
      <c r="H14" s="2600"/>
      <c r="I14" s="2601"/>
      <c r="J14" s="3370"/>
      <c r="K14" s="337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76" t="s">
        <v>2371</v>
      </c>
      <c r="C15" s="3377"/>
      <c r="D15" s="2649">
        <f>ROUND(D6*E15,0)</f>
        <v>0</v>
      </c>
      <c r="E15" s="2650">
        <v>5.5E-2</v>
      </c>
      <c r="F15" s="2643" t="s">
        <v>2372</v>
      </c>
      <c r="G15" s="2625"/>
      <c r="H15" s="2600"/>
      <c r="I15" s="2601"/>
      <c r="J15" s="3370">
        <v>2</v>
      </c>
      <c r="K15" s="337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76" t="s">
        <v>2380</v>
      </c>
      <c r="C16" s="3377"/>
      <c r="D16" s="2660">
        <f>D6*E16</f>
        <v>0</v>
      </c>
      <c r="E16" s="2661"/>
      <c r="F16" s="2646" t="s">
        <v>2381</v>
      </c>
      <c r="G16" s="2625"/>
      <c r="H16" s="2600"/>
      <c r="I16" s="2601"/>
      <c r="J16" s="3370"/>
      <c r="K16" s="337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78" t="s">
        <v>2383</v>
      </c>
      <c r="C17" s="3379"/>
      <c r="D17" s="2663">
        <f>ROUND(D6*E17,0)</f>
        <v>0</v>
      </c>
      <c r="E17" s="2664"/>
      <c r="F17" s="2665" t="s">
        <v>2384</v>
      </c>
      <c r="G17" s="2625"/>
      <c r="H17" s="2600"/>
      <c r="I17" s="2601"/>
      <c r="J17" s="3370"/>
      <c r="K17" s="337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70"/>
      <c r="K18" s="337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70"/>
      <c r="K19" s="337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0">
        <v>3</v>
      </c>
      <c r="K20" s="337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70"/>
      <c r="K21" s="337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70"/>
      <c r="K22" s="337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70"/>
      <c r="K23" s="337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70"/>
      <c r="K24" s="337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8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8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63" t="s">
        <v>2316</v>
      </c>
      <c r="K32" s="336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65" t="s">
        <v>2326</v>
      </c>
      <c r="K33" s="336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65" t="s">
        <v>2328</v>
      </c>
      <c r="K34" s="336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70">
        <v>1</v>
      </c>
      <c r="K36" s="337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70"/>
      <c r="K37" s="337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0"/>
      <c r="K38" s="337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70"/>
      <c r="K39" s="337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70"/>
      <c r="K40" s="337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8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7003</v>
      </c>
      <c r="C2" s="1729" t="s">
        <v>1651</v>
      </c>
      <c r="D2" s="1730" t="s">
        <v>1652</v>
      </c>
      <c r="E2" s="2393">
        <f>SUM(E6:E13)</f>
        <v>17144.699999999997</v>
      </c>
      <c r="F2" s="2480"/>
      <c r="G2" s="459"/>
      <c r="H2" s="459"/>
      <c r="I2" s="459"/>
      <c r="J2" s="459"/>
      <c r="K2" s="459"/>
      <c r="L2" s="459"/>
      <c r="M2" s="459"/>
      <c r="N2" s="459"/>
      <c r="O2" s="459"/>
      <c r="P2" s="459"/>
      <c r="Q2" s="459"/>
      <c r="R2" s="459"/>
      <c r="S2" s="459"/>
    </row>
    <row r="3" spans="1:22" ht="15.75">
      <c r="A3" s="1728" t="s">
        <v>686</v>
      </c>
      <c r="B3" s="2387">
        <f ca="1">ROUND(B2*10000/E2,0)</f>
        <v>4085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2" t="s">
        <v>1654</v>
      </c>
      <c r="C5" s="338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7003</v>
      </c>
      <c r="C6" s="1729" t="s">
        <v>1651</v>
      </c>
      <c r="D6" s="2480"/>
      <c r="E6" s="2392">
        <f>IF(OR(A6=0,F6="否"),0,'数据-取费表'!K6+'数据-取费表'!S6)</f>
        <v>17144.699999999997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17144.699999999997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2" t="s">
        <v>1667</v>
      </c>
      <c r="D4" s="3403"/>
      <c r="E4" s="3404" t="s">
        <v>1668</v>
      </c>
      <c r="F4" s="3405"/>
      <c r="G4" s="3402" t="s">
        <v>1669</v>
      </c>
      <c r="H4" s="3403"/>
      <c r="I4" s="3402" t="s">
        <v>1670</v>
      </c>
      <c r="J4" s="3403"/>
      <c r="K4" s="1744" t="s">
        <v>1671</v>
      </c>
      <c r="L4" s="2487"/>
      <c r="M4" s="2488"/>
      <c r="N4" s="2488"/>
      <c r="O4" s="2488"/>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ht="15">
      <c r="A5" s="348"/>
      <c r="B5" s="349"/>
      <c r="C5" s="3395" t="s">
        <v>1673</v>
      </c>
      <c r="D5" s="3396"/>
      <c r="E5" s="3393" t="s">
        <v>1674</v>
      </c>
      <c r="F5" s="3394"/>
      <c r="G5" s="3395" t="s">
        <v>1675</v>
      </c>
      <c r="H5" s="3396"/>
      <c r="I5" s="3395" t="s">
        <v>1676</v>
      </c>
      <c r="J5" s="3396"/>
      <c r="K5" s="1745"/>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1745"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1"/>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1"/>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1"/>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1"/>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8"/>
      <c r="Q16" s="1263"/>
      <c r="R16" s="667"/>
      <c r="S16" s="668"/>
      <c r="T16" s="667"/>
      <c r="U16" s="668"/>
      <c r="V16" s="667"/>
      <c r="W16" s="668"/>
      <c r="X16" s="1265"/>
      <c r="Y16" s="342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8"/>
      <c r="Q18" s="1263"/>
      <c r="R18" s="667"/>
      <c r="S18" s="668"/>
      <c r="T18" s="667"/>
      <c r="U18" s="668"/>
      <c r="V18" s="667"/>
      <c r="W18" s="668"/>
      <c r="X18" s="1265"/>
      <c r="Y18" s="342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8"/>
      <c r="Q20" s="1263"/>
      <c r="R20" s="667"/>
      <c r="S20" s="668"/>
      <c r="T20" s="667"/>
      <c r="U20" s="668"/>
      <c r="V20" s="667"/>
      <c r="W20" s="668"/>
      <c r="X20" s="1265"/>
      <c r="Y20" s="342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8"/>
      <c r="Q22" s="1263"/>
      <c r="R22" s="667"/>
      <c r="S22" s="668"/>
      <c r="T22" s="667"/>
      <c r="U22" s="668"/>
      <c r="V22" s="667"/>
      <c r="W22" s="668"/>
      <c r="X22" s="1265"/>
      <c r="Y22" s="342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8"/>
      <c r="Q24" s="1263"/>
      <c r="R24" s="667"/>
      <c r="S24" s="668"/>
      <c r="T24" s="667"/>
      <c r="U24" s="668"/>
      <c r="V24" s="667"/>
      <c r="W24" s="668"/>
      <c r="X24" s="1265"/>
      <c r="Y24" s="342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17144.699999999997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414"/>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414"/>
      <c r="AC6" s="3386"/>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1"/>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7"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8"/>
      <c r="Q16" s="1263"/>
      <c r="R16" s="667"/>
      <c r="S16" s="668"/>
      <c r="T16" s="667"/>
      <c r="U16" s="668"/>
      <c r="V16" s="667"/>
      <c r="W16" s="668"/>
      <c r="X16" s="1265"/>
      <c r="Y16" s="342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8"/>
      <c r="Q18" s="1263"/>
      <c r="R18" s="667"/>
      <c r="S18" s="668"/>
      <c r="T18" s="667"/>
      <c r="U18" s="668"/>
      <c r="V18" s="667"/>
      <c r="W18" s="668"/>
      <c r="X18" s="1265"/>
      <c r="Y18" s="342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8"/>
      <c r="Q20" s="1263"/>
      <c r="R20" s="667"/>
      <c r="S20" s="668"/>
      <c r="T20" s="667"/>
      <c r="U20" s="668"/>
      <c r="V20" s="667"/>
      <c r="W20" s="668"/>
      <c r="X20" s="1265"/>
      <c r="Y20" s="342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8"/>
      <c r="Q22" s="1263"/>
      <c r="R22" s="667"/>
      <c r="S22" s="668"/>
      <c r="T22" s="667"/>
      <c r="U22" s="668"/>
      <c r="V22" s="667"/>
      <c r="W22" s="668"/>
      <c r="X22" s="1265"/>
      <c r="Y22" s="342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8"/>
      <c r="Q24" s="1263"/>
      <c r="R24" s="667"/>
      <c r="S24" s="668"/>
      <c r="T24" s="667"/>
      <c r="U24" s="668"/>
      <c r="V24" s="667"/>
      <c r="W24" s="668"/>
      <c r="X24" s="1265"/>
      <c r="Y24" s="342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3"/>
      <c r="Q36" s="1263" t="str">
        <f t="shared" si="11"/>
        <v>成新度</v>
      </c>
      <c r="R36" s="667" t="s">
        <v>14</v>
      </c>
      <c r="S36" s="668" t="e">
        <f t="shared" si="12"/>
        <v>#N/A</v>
      </c>
      <c r="T36" s="667" t="s">
        <v>14</v>
      </c>
      <c r="U36" s="668" t="e">
        <f t="shared" si="13"/>
        <v>#N/A</v>
      </c>
      <c r="V36" s="667" t="s">
        <v>14</v>
      </c>
      <c r="W36" s="668" t="e">
        <f t="shared" si="14"/>
        <v>#N/A</v>
      </c>
      <c r="X36" s="1265"/>
      <c r="Y36" s="342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17144.699999999997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ht="15">
      <c r="A5" s="348"/>
      <c r="B5" s="349"/>
      <c r="C5" s="3395" t="s">
        <v>1673</v>
      </c>
      <c r="D5" s="3396"/>
      <c r="E5" s="3393" t="s">
        <v>1674</v>
      </c>
      <c r="F5" s="3394"/>
      <c r="G5" s="3395" t="s">
        <v>1675</v>
      </c>
      <c r="H5" s="3396"/>
      <c r="I5" s="3395" t="s">
        <v>1676</v>
      </c>
      <c r="J5" s="3396"/>
      <c r="K5" s="537"/>
      <c r="L5" s="2487"/>
      <c r="M5" s="2488"/>
      <c r="N5" s="2488"/>
      <c r="O5" s="2488"/>
      <c r="P5" s="3437"/>
      <c r="Q5" s="3409"/>
      <c r="R5" s="3391"/>
      <c r="S5" s="3392"/>
      <c r="T5" s="3391"/>
      <c r="U5" s="3392"/>
      <c r="V5" s="3414"/>
      <c r="W5" s="3414"/>
      <c r="X5" s="1265"/>
      <c r="Y5" s="3391"/>
      <c r="Z5" s="3392"/>
      <c r="AA5" s="3385"/>
      <c r="AB5" s="3385"/>
      <c r="AC5" s="3433"/>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38"/>
      <c r="Q6" s="3411"/>
      <c r="R6" s="3391"/>
      <c r="S6" s="3392"/>
      <c r="T6" s="3412"/>
      <c r="U6" s="3413"/>
      <c r="V6" s="3414"/>
      <c r="W6" s="3414"/>
      <c r="X6" s="1265"/>
      <c r="Y6" s="3412"/>
      <c r="Z6" s="3413"/>
      <c r="AA6" s="3386"/>
      <c r="AB6" s="3386"/>
      <c r="AC6" s="3434"/>
    </row>
    <row r="7" spans="1:29" s="102" customFormat="1" ht="15.75" thickBot="1">
      <c r="A7" s="352" t="s">
        <v>1679</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8"/>
      <c r="Q16" s="1263"/>
      <c r="R16" s="667"/>
      <c r="S16" s="668"/>
      <c r="T16" s="667"/>
      <c r="U16" s="668"/>
      <c r="V16" s="667"/>
      <c r="W16" s="668"/>
      <c r="X16" s="1265"/>
      <c r="Y16" s="342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8"/>
      <c r="Q18" s="1263"/>
      <c r="R18" s="667"/>
      <c r="S18" s="668"/>
      <c r="T18" s="667"/>
      <c r="U18" s="668"/>
      <c r="V18" s="667"/>
      <c r="W18" s="668"/>
      <c r="X18" s="1265"/>
      <c r="Y18" s="342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8"/>
      <c r="Q20" s="1263"/>
      <c r="R20" s="667"/>
      <c r="S20" s="668"/>
      <c r="T20" s="667"/>
      <c r="U20" s="668"/>
      <c r="V20" s="667"/>
      <c r="W20" s="668"/>
      <c r="X20" s="1265"/>
      <c r="Y20" s="342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8"/>
      <c r="Q22" s="1263"/>
      <c r="R22" s="667"/>
      <c r="S22" s="668"/>
      <c r="T22" s="667"/>
      <c r="U22" s="668"/>
      <c r="V22" s="667"/>
      <c r="W22" s="668"/>
      <c r="X22" s="1265"/>
      <c r="Y22" s="342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8"/>
      <c r="Q24" s="1263"/>
      <c r="R24" s="667"/>
      <c r="S24" s="668"/>
      <c r="T24" s="667"/>
      <c r="U24" s="668"/>
      <c r="V24" s="667"/>
      <c r="W24" s="668"/>
      <c r="X24" s="1265"/>
      <c r="Y24" s="342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8"/>
      <c r="Q26" s="1263"/>
      <c r="R26" s="667"/>
      <c r="S26" s="668"/>
      <c r="T26" s="667"/>
      <c r="U26" s="668"/>
      <c r="V26" s="667"/>
      <c r="W26" s="668"/>
      <c r="X26" s="1265"/>
      <c r="Y26" s="342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17144.699999999997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1"/>
      <c r="Q15" s="1263"/>
      <c r="R15" s="667"/>
      <c r="S15" s="668"/>
      <c r="T15" s="667"/>
      <c r="U15" s="668"/>
      <c r="V15" s="667"/>
      <c r="W15" s="668"/>
      <c r="X15" s="1265"/>
      <c r="Y15" s="342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1"/>
      <c r="Q17" s="1263"/>
      <c r="R17" s="667"/>
      <c r="S17" s="668"/>
      <c r="T17" s="667"/>
      <c r="U17" s="668"/>
      <c r="V17" s="667"/>
      <c r="W17" s="668"/>
      <c r="X17" s="1265"/>
      <c r="Y17" s="342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1"/>
      <c r="Q19" s="1263"/>
      <c r="R19" s="667"/>
      <c r="S19" s="668"/>
      <c r="T19" s="667"/>
      <c r="U19" s="668"/>
      <c r="V19" s="667"/>
      <c r="W19" s="668"/>
      <c r="X19" s="1265"/>
      <c r="Y19" s="342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1"/>
      <c r="Q21" s="1263"/>
      <c r="R21" s="667"/>
      <c r="S21" s="668"/>
      <c r="T21" s="667"/>
      <c r="U21" s="668"/>
      <c r="V21" s="667"/>
      <c r="W21" s="668"/>
      <c r="X21" s="1265"/>
      <c r="Y21" s="342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19" t="str">
        <f>A37</f>
        <v>成交单价</v>
      </c>
      <c r="Q37" s="3419"/>
      <c r="R37" s="3414">
        <f>E37</f>
        <v>0</v>
      </c>
      <c r="S37" s="3414"/>
      <c r="T37" s="3414">
        <f>G37</f>
        <v>0</v>
      </c>
      <c r="U37" s="3414"/>
      <c r="V37" s="3414">
        <f>I37</f>
        <v>0</v>
      </c>
      <c r="W37" s="341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9"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9"/>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9"/>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1"/>
      <c r="Q15" s="1263"/>
      <c r="R15" s="667"/>
      <c r="S15" s="668"/>
      <c r="T15" s="667"/>
      <c r="U15" s="668"/>
      <c r="V15" s="667"/>
      <c r="W15" s="668"/>
      <c r="X15" s="1265"/>
      <c r="Y15" s="342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1"/>
      <c r="Q17" s="1263"/>
      <c r="R17" s="667"/>
      <c r="S17" s="668"/>
      <c r="T17" s="667"/>
      <c r="U17" s="668"/>
      <c r="V17" s="667"/>
      <c r="W17" s="668"/>
      <c r="X17" s="1265"/>
      <c r="Y17" s="342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1"/>
      <c r="Q19" s="1263"/>
      <c r="R19" s="667"/>
      <c r="S19" s="668"/>
      <c r="T19" s="667"/>
      <c r="U19" s="668"/>
      <c r="V19" s="667"/>
      <c r="W19" s="668"/>
      <c r="X19" s="1265"/>
      <c r="Y19" s="342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1"/>
      <c r="Q21" s="1263"/>
      <c r="R21" s="667"/>
      <c r="S21" s="668"/>
      <c r="T21" s="667"/>
      <c r="U21" s="668"/>
      <c r="V21" s="667"/>
      <c r="W21" s="668"/>
      <c r="X21" s="1265"/>
      <c r="Y21" s="342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90"/>
      <c r="M10" s="2491"/>
      <c r="N10" s="2491"/>
      <c r="O10" s="2542"/>
      <c r="P10" s="3419"/>
      <c r="Q10" s="530" t="str">
        <f t="shared" si="6"/>
        <v>土地使用年限（年）</v>
      </c>
      <c r="R10" s="664" t="s">
        <v>14</v>
      </c>
      <c r="S10" s="665">
        <f t="shared" si="0"/>
        <v>126</v>
      </c>
      <c r="T10" s="664" t="s">
        <v>14</v>
      </c>
      <c r="U10" s="665">
        <f t="shared" si="1"/>
        <v>126</v>
      </c>
      <c r="V10" s="664" t="s">
        <v>14</v>
      </c>
      <c r="W10" s="665">
        <f t="shared" si="2"/>
        <v>126</v>
      </c>
      <c r="X10" s="666"/>
      <c r="Y10" s="333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9"/>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1"/>
      <c r="Q16" s="1263"/>
      <c r="R16" s="667"/>
      <c r="S16" s="668"/>
      <c r="T16" s="667"/>
      <c r="U16" s="668"/>
      <c r="V16" s="667"/>
      <c r="W16" s="668"/>
      <c r="X16" s="1265"/>
      <c r="Y16" s="342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1"/>
      <c r="Q18" s="1263"/>
      <c r="R18" s="667"/>
      <c r="S18" s="668"/>
      <c r="T18" s="667"/>
      <c r="U18" s="668"/>
      <c r="V18" s="667"/>
      <c r="W18" s="668"/>
      <c r="X18" s="1265"/>
      <c r="Y18" s="342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1"/>
      <c r="Q20" s="1263"/>
      <c r="R20" s="667"/>
      <c r="S20" s="668"/>
      <c r="T20" s="667"/>
      <c r="U20" s="668"/>
      <c r="V20" s="667"/>
      <c r="W20" s="668"/>
      <c r="X20" s="1265"/>
      <c r="Y20" s="342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1"/>
      <c r="Q22" s="1263"/>
      <c r="R22" s="667"/>
      <c r="S22" s="668"/>
      <c r="T22" s="667"/>
      <c r="U22" s="668"/>
      <c r="V22" s="667"/>
      <c r="W22" s="668"/>
      <c r="X22" s="1265"/>
      <c r="Y22" s="342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1"/>
      <c r="Q24" s="1263"/>
      <c r="R24" s="667"/>
      <c r="S24" s="668"/>
      <c r="T24" s="667"/>
      <c r="U24" s="668"/>
      <c r="V24" s="667"/>
      <c r="W24" s="668"/>
      <c r="X24" s="1265"/>
      <c r="Y24" s="342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1"/>
      <c r="Q26" s="1263"/>
      <c r="R26" s="667"/>
      <c r="S26" s="668"/>
      <c r="T26" s="667"/>
      <c r="U26" s="668"/>
      <c r="V26" s="667"/>
      <c r="W26" s="668"/>
      <c r="X26" s="1265"/>
      <c r="Y26" s="342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1"/>
      <c r="Q28" s="530"/>
      <c r="R28" s="664"/>
      <c r="S28" s="665"/>
      <c r="T28" s="664"/>
      <c r="U28" s="665"/>
      <c r="V28" s="664"/>
      <c r="W28" s="665"/>
      <c r="X28" s="666"/>
      <c r="Y28" s="342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1"/>
      <c r="Q30" s="530"/>
      <c r="R30" s="664"/>
      <c r="S30" s="665"/>
      <c r="T30" s="664"/>
      <c r="U30" s="665"/>
      <c r="V30" s="664"/>
      <c r="W30" s="665"/>
      <c r="X30" s="666"/>
      <c r="Y30" s="342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1"/>
      <c r="Q33" s="1263"/>
      <c r="R33" s="667"/>
      <c r="S33" s="668"/>
      <c r="T33" s="667"/>
      <c r="U33" s="668"/>
      <c r="V33" s="667"/>
      <c r="W33" s="668"/>
      <c r="X33" s="1265"/>
      <c r="Y33" s="342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9" t="str">
        <f>A46</f>
        <v>成交单价</v>
      </c>
      <c r="Q46" s="3419"/>
      <c r="R46" s="3414">
        <f>E46</f>
        <v>0</v>
      </c>
      <c r="S46" s="3414"/>
      <c r="T46" s="3414">
        <f>G46</f>
        <v>0</v>
      </c>
      <c r="U46" s="3414"/>
      <c r="V46" s="3414">
        <f>I46</f>
        <v>0</v>
      </c>
      <c r="W46" s="341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17144.699999999997</v>
      </c>
      <c r="F56" s="833" t="e">
        <f t="shared" ref="F56:F64" si="15">ROUND(B56*E56/10000,0)</f>
        <v>#DIV/0!</v>
      </c>
      <c r="G56" s="3401"/>
      <c r="H56" s="341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17144.699999999997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449" t="s">
        <v>1919</v>
      </c>
      <c r="D6" s="3450"/>
      <c r="E6" s="3451" t="s">
        <v>1919</v>
      </c>
      <c r="F6" s="3452"/>
      <c r="G6" s="3449" t="s">
        <v>1919</v>
      </c>
      <c r="H6" s="3450"/>
      <c r="I6" s="3449" t="s">
        <v>1919</v>
      </c>
      <c r="J6" s="3450"/>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90"/>
      <c r="M10" s="2491"/>
      <c r="N10" s="2491"/>
      <c r="O10" s="2542"/>
      <c r="P10" s="3419"/>
      <c r="Q10" s="530" t="str">
        <f t="shared" si="6"/>
        <v>土地使用年限（年）</v>
      </c>
      <c r="R10" s="664" t="s">
        <v>14</v>
      </c>
      <c r="S10" s="665">
        <f t="shared" si="0"/>
        <v>126</v>
      </c>
      <c r="T10" s="664" t="s">
        <v>14</v>
      </c>
      <c r="U10" s="665">
        <f t="shared" si="1"/>
        <v>126</v>
      </c>
      <c r="V10" s="664" t="s">
        <v>14</v>
      </c>
      <c r="W10" s="665">
        <f t="shared" si="2"/>
        <v>126</v>
      </c>
      <c r="X10" s="666"/>
      <c r="Y10" s="3331"/>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1"/>
      <c r="Q16" s="1263"/>
      <c r="R16" s="667"/>
      <c r="S16" s="668"/>
      <c r="T16" s="667"/>
      <c r="U16" s="668"/>
      <c r="V16" s="667"/>
      <c r="W16" s="668"/>
      <c r="X16" s="1265"/>
      <c r="Y16" s="342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1"/>
      <c r="Q18" s="1263"/>
      <c r="R18" s="667"/>
      <c r="S18" s="668"/>
      <c r="T18" s="667"/>
      <c r="U18" s="668"/>
      <c r="V18" s="667"/>
      <c r="W18" s="668"/>
      <c r="X18" s="1265"/>
      <c r="Y18" s="342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1"/>
      <c r="Q20" s="1263"/>
      <c r="R20" s="667"/>
      <c r="S20" s="668"/>
      <c r="T20" s="667"/>
      <c r="U20" s="668"/>
      <c r="V20" s="667"/>
      <c r="W20" s="668"/>
      <c r="X20" s="1265"/>
      <c r="Y20" s="342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1"/>
      <c r="Q22" s="1263"/>
      <c r="R22" s="667"/>
      <c r="S22" s="668"/>
      <c r="T22" s="667"/>
      <c r="U22" s="668"/>
      <c r="V22" s="667"/>
      <c r="W22" s="668"/>
      <c r="X22" s="1265"/>
      <c r="Y22" s="342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1"/>
      <c r="Q24" s="530"/>
      <c r="R24" s="664"/>
      <c r="S24" s="665"/>
      <c r="T24" s="664"/>
      <c r="U24" s="665"/>
      <c r="V24" s="664"/>
      <c r="W24" s="665"/>
      <c r="X24" s="666"/>
      <c r="Y24" s="342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1"/>
      <c r="Q26" s="530"/>
      <c r="R26" s="664"/>
      <c r="S26" s="665"/>
      <c r="T26" s="664"/>
      <c r="U26" s="665"/>
      <c r="V26" s="664"/>
      <c r="W26" s="665"/>
      <c r="X26" s="666"/>
      <c r="Y26" s="342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1"/>
      <c r="Q29" s="1263"/>
      <c r="R29" s="667"/>
      <c r="S29" s="668"/>
      <c r="T29" s="667"/>
      <c r="U29" s="668"/>
      <c r="V29" s="667"/>
      <c r="W29" s="668"/>
      <c r="X29" s="1265"/>
      <c r="Y29" s="342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9" t="str">
        <f>A41</f>
        <v>成交单价</v>
      </c>
      <c r="Q41" s="3419"/>
      <c r="R41" s="3414">
        <f>E41</f>
        <v>0</v>
      </c>
      <c r="S41" s="3414"/>
      <c r="T41" s="3414">
        <f>G41</f>
        <v>0</v>
      </c>
      <c r="U41" s="3414"/>
      <c r="V41" s="3414">
        <f>I41</f>
        <v>0</v>
      </c>
      <c r="W41" s="341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17144.699999999997</v>
      </c>
      <c r="F51" s="611" t="e">
        <f t="shared" ref="F51:F60" si="15">ROUND(B51*E51/10000,0)</f>
        <v>#DIV/0!</v>
      </c>
      <c r="G51" s="3401"/>
      <c r="H51" s="341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17333.330000000002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B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ht="38.25">
      <c r="A2" s="930"/>
      <c r="B2" s="622" t="s">
        <v>2086</v>
      </c>
      <c r="C2" s="14" t="str">
        <f t="shared" ref="C2:L2" si="0">C3&amp;"(含)"&amp;"-"&amp;D3</f>
        <v>0(含)-2000</v>
      </c>
      <c r="D2" s="623" t="str">
        <f t="shared" si="0"/>
        <v>2000(含)-4000</v>
      </c>
      <c r="E2" s="623" t="str">
        <f t="shared" si="0"/>
        <v>4000(含)-6000</v>
      </c>
      <c r="F2" s="623" t="str">
        <f t="shared" si="0"/>
        <v>6000(含)-8000</v>
      </c>
      <c r="G2" s="623" t="str">
        <f t="shared" si="0"/>
        <v>8000(含)-10000</v>
      </c>
      <c r="H2" s="623" t="str">
        <f t="shared" si="0"/>
        <v>10000(含)-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2000</v>
      </c>
      <c r="E3" s="627">
        <v>4000</v>
      </c>
      <c r="F3" s="628">
        <v>6000</v>
      </c>
      <c r="G3" s="627">
        <v>8000</v>
      </c>
      <c r="H3" s="628">
        <v>10000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101</v>
      </c>
      <c r="E4" s="935">
        <v>102</v>
      </c>
      <c r="F4" s="936">
        <v>103</v>
      </c>
      <c r="G4" s="935">
        <v>104</v>
      </c>
      <c r="H4" s="936">
        <v>105</v>
      </c>
      <c r="I4" s="935"/>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#DIV/0!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 ca="1">ROUND(S22*10000/B22,0)</f>
        <v>#DIV/0!</v>
      </c>
      <c r="S22" s="21">
        <f ca="1">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1号楼</v>
      </c>
      <c r="B24" s="633"/>
      <c r="C24" s="2571">
        <v>1</v>
      </c>
      <c r="D24" s="2572"/>
      <c r="E24" s="2571">
        <v>1</v>
      </c>
      <c r="F24" s="2572"/>
      <c r="G24" s="2571">
        <v>1</v>
      </c>
      <c r="H24" s="2572"/>
      <c r="I24" s="2571">
        <v>1</v>
      </c>
      <c r="J24" s="2572"/>
      <c r="K24" s="2571">
        <v>1</v>
      </c>
      <c r="L24" s="2572"/>
      <c r="M24" s="2571">
        <v>1</v>
      </c>
      <c r="N24" s="2572"/>
      <c r="O24" s="2571">
        <v>1</v>
      </c>
      <c r="P24" s="2572"/>
      <c r="Q24" s="2571">
        <v>1</v>
      </c>
      <c r="R24" s="633">
        <f ca="1">结果表!G20</f>
        <v>4811</v>
      </c>
      <c r="S24" s="634">
        <f t="shared" ref="S24:S54" ca="1"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'数据-基础表'!C14</f>
        <v>2号楼</v>
      </c>
      <c r="B25" s="633"/>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778</v>
      </c>
      <c r="C2" s="1984" t="s">
        <v>2074</v>
      </c>
      <c r="D2" s="1984" t="s">
        <v>2075</v>
      </c>
      <c r="E2" s="2398">
        <f ca="1">SUMIF(E6:E13,"&lt;&gt;#ref!",E6:E13)</f>
        <v>17333.330000000002</v>
      </c>
      <c r="F2" s="2545"/>
      <c r="G2" s="2545"/>
      <c r="H2" s="2545"/>
      <c r="I2" s="2545"/>
      <c r="J2" s="2545"/>
      <c r="K2" s="2545"/>
      <c r="L2" s="2545"/>
      <c r="M2" s="2545"/>
      <c r="N2" s="2545"/>
      <c r="O2" s="2545"/>
      <c r="P2" s="2545"/>
    </row>
    <row r="3" spans="1:16" ht="15.75">
      <c r="A3" s="1984" t="s">
        <v>2076</v>
      </c>
      <c r="B3" s="2388">
        <f ca="1">ROUND(B2*10000/E2,0)</f>
        <v>449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778</v>
      </c>
      <c r="C6" s="1984" t="s">
        <v>2074</v>
      </c>
      <c r="D6" s="2545"/>
      <c r="E6" s="2398">
        <f ca="1">SUMIF(INDIRECT("'"&amp;A6&amp;"'"&amp;"!C:C"),"建筑面积",INDIRECT("'"&amp;A6&amp;"'"&amp;"!D:D"))</f>
        <v>17333.330000000002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14" sqref="H1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17333.330000000002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778</v>
      </c>
      <c r="C2" s="1846" t="s">
        <v>1935</v>
      </c>
      <c r="D2" s="162" t="s">
        <v>1936</v>
      </c>
      <c r="E2" s="3121"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692</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449</v>
      </c>
      <c r="C3" s="1846" t="s">
        <v>1941</v>
      </c>
      <c r="D3" s="162" t="s">
        <v>1942</v>
      </c>
      <c r="E3" s="3119" t="s">
        <v>2478</v>
      </c>
      <c r="F3" s="1848" t="s">
        <v>3434</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533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435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730</v>
      </c>
      <c r="D5" s="1252">
        <f>ROUND(C6*C17+C20,0)</f>
        <v>730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369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336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730</v>
      </c>
      <c r="N10" s="813">
        <f>SUMPRODUCT((因素修正幅度!B327:B357=I2)*(因素修正幅度!C3:G3=E2)*(因素修正幅度!C327:G357))</f>
        <v>0.14399999999999999</v>
      </c>
      <c r="O10" s="1056"/>
      <c r="P10" s="1056"/>
      <c r="Q10" s="1056"/>
      <c r="R10" s="1129">
        <v>9</v>
      </c>
      <c r="S10" s="1130"/>
      <c r="T10" s="3064">
        <f t="shared" si="0"/>
        <v>0</v>
      </c>
      <c r="U10" s="1130"/>
      <c r="V10" s="3064">
        <f t="shared" si="1"/>
        <v>0</v>
      </c>
      <c r="W10" s="346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0" t="s">
        <v>3253</v>
      </c>
      <c r="B20" s="159" t="s">
        <v>1994</v>
      </c>
      <c r="C20" s="3032">
        <f>ROUND(IF(F21="与级别开发程度一致",0,(G21-E21)/C21),0)</f>
        <v>0</v>
      </c>
      <c r="D20" s="3047" t="s">
        <v>1998</v>
      </c>
      <c r="E20" s="3048"/>
      <c r="F20" s="3476" t="s">
        <v>1995</v>
      </c>
      <c r="G20" s="347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7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45790</v>
      </c>
      <c r="H23" s="3049" t="s">
        <v>3255</v>
      </c>
      <c r="I23" s="3050" t="str">
        <f>IF(H23="季度增幅（自定义）",SUMIF(N25:N28,E2,O25:O28),"")</f>
        <v/>
      </c>
      <c r="J23" s="3142" t="s">
        <v>3254</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0.54220000000000002</v>
      </c>
      <c r="D24" s="1902" t="s">
        <v>2007</v>
      </c>
      <c r="E24" s="1248">
        <f>存贷款利率!E27/100</f>
        <v>4.3499999999999997E-2</v>
      </c>
      <c r="F24" s="1902" t="s">
        <v>1999</v>
      </c>
      <c r="G24" s="724">
        <f>SUMIF(M30:Q30,E2,M33:Q33)</f>
        <v>0.05</v>
      </c>
      <c r="H24" s="1902" t="s">
        <v>2008</v>
      </c>
      <c r="I24" s="725">
        <f>SUMIF('数据-取费表'!C6:C15,E2,'数据-取费表'!F6:F15)/COUNTIF('数据-取费表'!C6:C15,E2)</f>
        <v>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778</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449</v>
      </c>
      <c r="D33" s="1940">
        <f>'数据-汇总表'!D3</f>
        <v>17333.330000000002</v>
      </c>
      <c r="E33" s="727">
        <f>ROUND(C33*D33/10000,0)</f>
        <v>778</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67</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4"/>
      <c r="B37" s="1955" t="s">
        <v>2036</v>
      </c>
      <c r="C37" s="167">
        <f>ROUND(D5*C22*C23*C24*C28*F37,0)</f>
        <v>224</v>
      </c>
      <c r="D37" s="1940"/>
      <c r="E37" s="163">
        <f>ROUND(C37*D37/10000,0)</f>
        <v>0</v>
      </c>
      <c r="F37" s="163">
        <f>SUMIF(修正!A57:A68,G2,修正!B57:B68)</f>
        <v>0.5</v>
      </c>
      <c r="G37" s="163">
        <f>ROUND(IF(E2="工业",C37*$M$42,C37*$M$41),0)</f>
        <v>34</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90</v>
      </c>
      <c r="D38" s="1940"/>
      <c r="E38" s="163">
        <f t="shared" ref="E38:E42" si="4">ROUND(C38*D38/10000,0)</f>
        <v>0</v>
      </c>
      <c r="F38" s="163">
        <f>SUMIF(修正!A57:A68,G2,修正!C57:C68)</f>
        <v>0.2</v>
      </c>
      <c r="G38" s="163">
        <f>ROUND(IF(E2="工业",C38*$M$42,C38*$M$41),0)</f>
        <v>14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5"/>
      <c r="B39" s="1884" t="s">
        <v>3258</v>
      </c>
      <c r="C39" s="167">
        <f>ROUND(D5*C22*C23*C24*C28*F39,0)</f>
        <v>90</v>
      </c>
      <c r="D39" s="1940"/>
      <c r="E39" s="163">
        <f t="shared" si="4"/>
        <v>0</v>
      </c>
      <c r="F39" s="163">
        <f>SUMIF(修正!A57:A68,G2,修正!D57:D68)</f>
        <v>0.2</v>
      </c>
      <c r="G39" s="163">
        <f>ROUND(IF(E2="工业",C39*$M$42,C39*$M$41),0)</f>
        <v>14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90</v>
      </c>
      <c r="D40" s="1940"/>
      <c r="E40" s="163">
        <f t="shared" si="4"/>
        <v>0</v>
      </c>
      <c r="F40" s="167">
        <f>SUMIF(修正!A57:A68,G2,修正!E57:E68)</f>
        <v>0.2</v>
      </c>
      <c r="G40" s="163">
        <f>ROUND(IF(E2="工业",C40*$M$42,C40*$M$41),0)</f>
        <v>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90</v>
      </c>
      <c r="D41" s="1940"/>
      <c r="E41" s="163">
        <f t="shared" si="4"/>
        <v>0</v>
      </c>
      <c r="F41" s="167">
        <f>SUMIF(修正!A57:A68,G2,修正!F57:F68)</f>
        <v>0.2</v>
      </c>
      <c r="G41" s="163">
        <f>ROUND(IF(E2="工业",C41*$M$42,C41*$M$41),0)</f>
        <v>14</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45</v>
      </c>
      <c r="D42" s="1945"/>
      <c r="E42" s="179">
        <f t="shared" si="4"/>
        <v>0</v>
      </c>
      <c r="F42" s="723">
        <f>SUMIF(修正!A57:A68,G2,修正!G57:G68)</f>
        <v>0.1</v>
      </c>
      <c r="G42" s="179">
        <f>ROUND(IF(E2="工业",C42*$M$42,C42*$M$41),0)</f>
        <v>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0.54220000000000002</v>
      </c>
      <c r="D44" s="163" t="s">
        <v>1999</v>
      </c>
      <c r="E44" s="1991">
        <f>G24</f>
        <v>0.05</v>
      </c>
      <c r="F44" s="163" t="s">
        <v>2008</v>
      </c>
      <c r="G44" s="175">
        <f>项目基本情况!H15</f>
        <v>14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1.0424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3424</v>
      </c>
      <c r="D83" s="1002">
        <f t="shared" ref="D83:D90" si="22">SUMIF($J$82:$N$82,C83,J83:N83)</f>
        <v>1.8700000000000001E-2</v>
      </c>
      <c r="E83" s="702">
        <f>ROUND(SUM(D83:D90),4)</f>
        <v>4.24E-2</v>
      </c>
      <c r="F83" s="1675">
        <f>IF(E2="工业",SUMIF(L1:L12,G2,N1:N12),"——")</f>
        <v>0.14399999999999999</v>
      </c>
      <c r="G83" s="1000">
        <f>H83</f>
        <v>1.8700000000000001E-2</v>
      </c>
      <c r="H83" s="1003">
        <f t="shared" ref="H83:H90" si="23">IFERROR(ROUNDDOWN($F$83*I83/2,4),"——")</f>
        <v>1.8700000000000001E-2</v>
      </c>
      <c r="I83" s="3069">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3425</v>
      </c>
      <c r="D84" s="1002">
        <f t="shared" si="22"/>
        <v>0</v>
      </c>
      <c r="E84" s="705"/>
      <c r="F84" s="1675"/>
      <c r="G84" s="1000">
        <f t="shared" ref="G84:G90" si="27">H84</f>
        <v>2.1600000000000001E-2</v>
      </c>
      <c r="H84" s="1003">
        <f t="shared" si="23"/>
        <v>2.1600000000000001E-2</v>
      </c>
      <c r="I84" s="3069">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36">
      <c r="A85" s="3071" t="s">
        <v>3269</v>
      </c>
      <c r="B85" s="1262">
        <f>估价对象房地状况!G17</f>
        <v>0</v>
      </c>
      <c r="C85" s="1887" t="s">
        <v>3424</v>
      </c>
      <c r="D85" s="1002">
        <f t="shared" si="22"/>
        <v>7.1999999999999998E-3</v>
      </c>
      <c r="E85" s="705"/>
      <c r="F85" s="1675"/>
      <c r="G85" s="1000">
        <f t="shared" si="27"/>
        <v>7.1999999999999998E-3</v>
      </c>
      <c r="H85" s="1003">
        <f t="shared" si="23"/>
        <v>7.1999999999999998E-3</v>
      </c>
      <c r="I85" s="3069">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4.25">
      <c r="A86" s="1970" t="s">
        <v>2067</v>
      </c>
      <c r="B86" s="1262">
        <f>估价对象房地状况!G22</f>
        <v>0</v>
      </c>
      <c r="C86" s="1887" t="s">
        <v>3424</v>
      </c>
      <c r="D86" s="1002">
        <f t="shared" si="22"/>
        <v>3.5999999999999999E-3</v>
      </c>
      <c r="E86" s="705"/>
      <c r="F86" s="1675"/>
      <c r="G86" s="1000">
        <f t="shared" si="27"/>
        <v>3.5999999999999999E-3</v>
      </c>
      <c r="H86" s="1003">
        <f t="shared" si="23"/>
        <v>3.5999999999999999E-3</v>
      </c>
      <c r="I86" s="3069">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5.5">
      <c r="A87" s="1970" t="s">
        <v>2059</v>
      </c>
      <c r="B87" s="1240" t="str">
        <f>估价对象房地状况!G19</f>
        <v>估价对象所在区域公共配套设施齐备情况</v>
      </c>
      <c r="C87" s="1887" t="s">
        <v>3425</v>
      </c>
      <c r="D87" s="1002">
        <f t="shared" si="22"/>
        <v>0</v>
      </c>
      <c r="E87" s="705"/>
      <c r="F87" s="1675"/>
      <c r="G87" s="1000">
        <f t="shared" si="27"/>
        <v>4.3E-3</v>
      </c>
      <c r="H87" s="1003">
        <f t="shared" si="23"/>
        <v>4.3E-3</v>
      </c>
      <c r="I87" s="3069">
        <v>0.06</v>
      </c>
      <c r="J87" s="1001">
        <f t="shared" si="24"/>
        <v>8.6E-3</v>
      </c>
      <c r="K87" s="1001">
        <f t="shared" si="25"/>
        <v>4.3E-3</v>
      </c>
      <c r="L87" s="1001">
        <v>0</v>
      </c>
      <c r="M87" s="1001">
        <f t="shared" si="26"/>
        <v>-4.3E-3</v>
      </c>
      <c r="N87" s="1001">
        <f t="shared" si="26"/>
        <v>-8.6E-3</v>
      </c>
    </row>
    <row r="88" spans="1:37" ht="25.5">
      <c r="A88" s="1970" t="s">
        <v>2060</v>
      </c>
      <c r="B88" s="1240" t="str">
        <f>估价对象房地状况!G20</f>
        <v>估价对象所在区域基础设施水平</v>
      </c>
      <c r="C88" s="1887" t="s">
        <v>3424</v>
      </c>
      <c r="D88" s="1002">
        <f t="shared" si="22"/>
        <v>8.6E-3</v>
      </c>
      <c r="E88" s="705"/>
      <c r="F88" s="1675"/>
      <c r="G88" s="1000">
        <f t="shared" si="27"/>
        <v>8.6E-3</v>
      </c>
      <c r="H88" s="1003">
        <f t="shared" si="23"/>
        <v>8.6E-3</v>
      </c>
      <c r="I88" s="3069">
        <v>0.12</v>
      </c>
      <c r="J88" s="1001">
        <f t="shared" si="24"/>
        <v>1.72E-2</v>
      </c>
      <c r="K88" s="1001">
        <f t="shared" si="25"/>
        <v>8.6E-3</v>
      </c>
      <c r="L88" s="1001">
        <v>0</v>
      </c>
      <c r="M88" s="1001">
        <f t="shared" si="26"/>
        <v>-8.6E-3</v>
      </c>
      <c r="N88" s="1001">
        <f t="shared" si="26"/>
        <v>-1.72E-2</v>
      </c>
    </row>
    <row r="89" spans="1:37" ht="24">
      <c r="A89" s="1970" t="s">
        <v>2057</v>
      </c>
      <c r="B89" s="1975" t="s">
        <v>2071</v>
      </c>
      <c r="C89" s="1887" t="s">
        <v>3424</v>
      </c>
      <c r="D89" s="1002">
        <f t="shared" si="22"/>
        <v>4.3E-3</v>
      </c>
      <c r="E89" s="705"/>
      <c r="F89" s="1675"/>
      <c r="G89" s="1000">
        <f t="shared" si="27"/>
        <v>4.3E-3</v>
      </c>
      <c r="H89" s="1003">
        <f t="shared" si="23"/>
        <v>4.3E-3</v>
      </c>
      <c r="I89" s="3069">
        <v>0.06</v>
      </c>
      <c r="J89" s="1001">
        <f t="shared" si="24"/>
        <v>8.6E-3</v>
      </c>
      <c r="K89" s="1001">
        <f t="shared" si="25"/>
        <v>4.3E-3</v>
      </c>
      <c r="L89" s="1001">
        <v>0</v>
      </c>
      <c r="M89" s="1001">
        <f t="shared" si="26"/>
        <v>-4.3E-3</v>
      </c>
      <c r="N89" s="1001">
        <f t="shared" si="26"/>
        <v>-8.6E-3</v>
      </c>
    </row>
    <row r="90" spans="1:37" ht="39" thickBot="1">
      <c r="A90" s="1977" t="s">
        <v>2072</v>
      </c>
      <c r="B90" s="1982" t="str">
        <f>估价对象房地状况!G18</f>
        <v>该园区内是否有污染型企业，绿化情况，卫生条件，整体环境状况判断</v>
      </c>
      <c r="C90" s="1887" t="s">
        <v>3425</v>
      </c>
      <c r="D90" s="1002">
        <f t="shared" si="22"/>
        <v>0</v>
      </c>
      <c r="E90" s="706"/>
      <c r="F90" s="1675"/>
      <c r="G90" s="1000">
        <f t="shared" si="27"/>
        <v>3.5999999999999999E-3</v>
      </c>
      <c r="H90" s="1003">
        <f t="shared" si="23"/>
        <v>3.5999999999999999E-3</v>
      </c>
      <c r="I90" s="3070">
        <v>0.05</v>
      </c>
      <c r="J90" s="1001">
        <f t="shared" si="24"/>
        <v>7.1999999999999998E-3</v>
      </c>
      <c r="K90" s="1001">
        <f t="shared" si="25"/>
        <v>3.5999999999999999E-3</v>
      </c>
      <c r="L90" s="1001">
        <v>0</v>
      </c>
      <c r="M90" s="1001">
        <f t="shared" si="26"/>
        <v>-3.5999999999999999E-3</v>
      </c>
      <c r="N90" s="1001">
        <f t="shared" si="26"/>
        <v>-7.1999999999999998E-3</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72" t="s">
        <v>3293</v>
      </c>
      <c r="B103" s="3472"/>
      <c r="C103" s="3472"/>
      <c r="D103" s="3472"/>
      <c r="E103" s="3472"/>
      <c r="F103" s="3472"/>
      <c r="G103" s="3472"/>
      <c r="H103" s="3472"/>
      <c r="I103" s="3472"/>
      <c r="J103" s="3472"/>
      <c r="K103" s="1667"/>
      <c r="L103" s="1667"/>
      <c r="M103" s="1667"/>
      <c r="N103" s="1667"/>
    </row>
    <row r="104" spans="1:14">
      <c r="A104" s="3473" t="s">
        <v>3294</v>
      </c>
      <c r="B104" s="3473" t="s">
        <v>3295</v>
      </c>
      <c r="C104" s="3091" t="s">
        <v>3296</v>
      </c>
      <c r="D104" s="3092"/>
      <c r="E104" s="3092"/>
      <c r="F104" s="3092"/>
      <c r="G104" s="3092"/>
      <c r="H104" s="3092"/>
      <c r="I104" s="3092"/>
      <c r="J104" s="3093"/>
      <c r="K104" s="3094"/>
      <c r="L104" s="3094"/>
      <c r="M104" s="3094"/>
      <c r="N104" s="3094"/>
    </row>
    <row r="105" spans="1:14">
      <c r="A105" s="3473"/>
      <c r="B105" s="347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0"/>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6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62" t="s">
        <v>3310</v>
      </c>
      <c r="B113" s="3462"/>
      <c r="C113" s="3462"/>
      <c r="D113" s="3462"/>
      <c r="E113" s="3462"/>
      <c r="F113" s="3462"/>
      <c r="G113" s="3462"/>
      <c r="H113" s="3462"/>
      <c r="I113" s="3462"/>
      <c r="J113" s="346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v>
      </c>
      <c r="C116" s="3100" t="s">
        <v>3312</v>
      </c>
      <c r="D116" s="3101">
        <f>SUMPRODUCT((A118:A122=F116)*(B117:M117=H116)*B118:M122)</f>
        <v>0.57150000000000001</v>
      </c>
      <c r="E116" s="162" t="s">
        <v>3313</v>
      </c>
      <c r="F116" s="3102" t="str">
        <f>E2</f>
        <v>工业</v>
      </c>
      <c r="G116" s="162" t="s">
        <v>3314</v>
      </c>
      <c r="H116" s="3102" t="str">
        <f>G2</f>
        <v>十级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2611</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85" t="s">
        <v>2606</v>
      </c>
      <c r="B20" s="3478" t="s">
        <v>2627</v>
      </c>
      <c r="C20" s="2843" t="s">
        <v>2438</v>
      </c>
      <c r="D20" s="2844"/>
      <c r="E20" s="2845">
        <v>1</v>
      </c>
      <c r="F20" s="2846" t="s">
        <v>2439</v>
      </c>
      <c r="G20" s="2846"/>
    </row>
    <row r="21" spans="1:13" ht="19.5" customHeight="1">
      <c r="A21" s="3486"/>
      <c r="B21" s="3479"/>
      <c r="C21" s="2847" t="s">
        <v>2440</v>
      </c>
      <c r="D21" s="2848"/>
      <c r="E21" s="2849">
        <v>1</v>
      </c>
      <c r="F21" s="2846" t="s">
        <v>2441</v>
      </c>
      <c r="G21" s="2846"/>
    </row>
    <row r="22" spans="1:13" ht="19.5" customHeight="1">
      <c r="A22" s="3486"/>
      <c r="B22" s="3479"/>
      <c r="C22" s="2847" t="s">
        <v>2442</v>
      </c>
      <c r="D22" s="2848"/>
      <c r="E22" s="2849">
        <v>0.9</v>
      </c>
      <c r="F22" s="2846" t="s">
        <v>2443</v>
      </c>
      <c r="G22" s="2846"/>
    </row>
    <row r="23" spans="1:13" ht="19.5" customHeight="1">
      <c r="A23" s="3486"/>
      <c r="B23" s="3479"/>
      <c r="C23" s="2847" t="s">
        <v>2444</v>
      </c>
      <c r="D23" s="2848"/>
      <c r="E23" s="2849">
        <v>0.9</v>
      </c>
      <c r="F23" s="2846" t="s">
        <v>2445</v>
      </c>
      <c r="G23" s="2846"/>
    </row>
    <row r="24" spans="1:13" ht="19.5" customHeight="1">
      <c r="A24" s="3486"/>
      <c r="B24" s="3479"/>
      <c r="C24" s="2847" t="s">
        <v>2446</v>
      </c>
      <c r="D24" s="2848"/>
      <c r="E24" s="2849">
        <v>0.8</v>
      </c>
      <c r="F24" s="2846" t="s">
        <v>2447</v>
      </c>
      <c r="G24" s="2846"/>
    </row>
    <row r="25" spans="1:13" ht="19.5" customHeight="1" thickBot="1">
      <c r="A25" s="3487"/>
      <c r="B25" s="348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81" t="s">
        <v>2630</v>
      </c>
      <c r="B27" s="3478" t="s">
        <v>2611</v>
      </c>
      <c r="C27" s="2843" t="s">
        <v>2451</v>
      </c>
      <c r="D27" s="2844"/>
      <c r="E27" s="2845">
        <v>1</v>
      </c>
      <c r="F27" s="2846" t="s">
        <v>2452</v>
      </c>
      <c r="G27" s="2846"/>
    </row>
    <row r="28" spans="1:13" ht="19.5" customHeight="1">
      <c r="A28" s="3482"/>
      <c r="B28" s="3479"/>
      <c r="C28" s="2847" t="s">
        <v>2453</v>
      </c>
      <c r="D28" s="2848"/>
      <c r="E28" s="2849">
        <v>1</v>
      </c>
      <c r="F28" s="2846" t="s">
        <v>2454</v>
      </c>
      <c r="G28" s="2846"/>
    </row>
    <row r="29" spans="1:13" ht="19.5" customHeight="1">
      <c r="A29" s="3482"/>
      <c r="B29" s="3479"/>
      <c r="C29" s="2847" t="s">
        <v>2455</v>
      </c>
      <c r="D29" s="2848"/>
      <c r="E29" s="2849">
        <v>0.8</v>
      </c>
      <c r="F29" s="2846" t="s">
        <v>2456</v>
      </c>
      <c r="G29" s="2846"/>
    </row>
    <row r="30" spans="1:13" ht="19.5" customHeight="1">
      <c r="A30" s="3482"/>
      <c r="B30" s="3479"/>
      <c r="C30" s="2847" t="s">
        <v>2457</v>
      </c>
      <c r="D30" s="2848"/>
      <c r="E30" s="2849">
        <v>0.8</v>
      </c>
      <c r="F30" s="2846" t="s">
        <v>2458</v>
      </c>
      <c r="G30" s="2846"/>
    </row>
    <row r="31" spans="1:13" ht="19.5" customHeight="1">
      <c r="A31" s="3482"/>
      <c r="B31" s="3479"/>
      <c r="C31" s="2847" t="s">
        <v>2459</v>
      </c>
      <c r="D31" s="2848"/>
      <c r="E31" s="2849">
        <v>0.8</v>
      </c>
      <c r="F31" s="2846" t="s">
        <v>2460</v>
      </c>
      <c r="G31" s="2846"/>
    </row>
    <row r="32" spans="1:13" ht="19.5" customHeight="1">
      <c r="A32" s="3482"/>
      <c r="B32" s="3479"/>
      <c r="C32" s="2847" t="s">
        <v>2461</v>
      </c>
      <c r="D32" s="2848"/>
      <c r="E32" s="2849">
        <v>0.7</v>
      </c>
      <c r="F32" s="2846" t="s">
        <v>2462</v>
      </c>
      <c r="G32" s="2846"/>
    </row>
    <row r="33" spans="1:7" ht="19.5" customHeight="1">
      <c r="A33" s="3482"/>
      <c r="B33" s="3479"/>
      <c r="C33" s="2847" t="s">
        <v>2463</v>
      </c>
      <c r="D33" s="2848"/>
      <c r="E33" s="2849">
        <v>0.8</v>
      </c>
      <c r="F33" s="2846" t="s">
        <v>2464</v>
      </c>
      <c r="G33" s="2846"/>
    </row>
    <row r="34" spans="1:7" ht="19.5" customHeight="1">
      <c r="A34" s="3482"/>
      <c r="B34" s="3479"/>
      <c r="C34" s="2847" t="s">
        <v>2465</v>
      </c>
      <c r="D34" s="2848"/>
      <c r="E34" s="2849">
        <v>0.6</v>
      </c>
      <c r="F34" s="2846" t="s">
        <v>2466</v>
      </c>
      <c r="G34" s="2846"/>
    </row>
    <row r="35" spans="1:7" ht="19.5" customHeight="1">
      <c r="A35" s="3482"/>
      <c r="B35" s="3479"/>
      <c r="C35" s="2847" t="s">
        <v>2467</v>
      </c>
      <c r="D35" s="2848"/>
      <c r="E35" s="2849">
        <v>0.2</v>
      </c>
      <c r="F35" s="2846" t="s">
        <v>2468</v>
      </c>
      <c r="G35" s="2846"/>
    </row>
    <row r="36" spans="1:7" ht="19.5" customHeight="1">
      <c r="A36" s="3482"/>
      <c r="B36" s="3479"/>
      <c r="C36" s="2847" t="s">
        <v>2469</v>
      </c>
      <c r="D36" s="2848"/>
      <c r="E36" s="2849">
        <v>0.2</v>
      </c>
      <c r="F36" s="2846" t="s">
        <v>2470</v>
      </c>
      <c r="G36" s="2846"/>
    </row>
    <row r="37" spans="1:7" ht="19.5" customHeight="1">
      <c r="A37" s="3482"/>
      <c r="B37" s="3484" t="s">
        <v>2631</v>
      </c>
      <c r="C37" s="2847" t="s">
        <v>2471</v>
      </c>
      <c r="D37" s="2848"/>
      <c r="E37" s="2849">
        <v>0.6</v>
      </c>
      <c r="F37" s="2846" t="s">
        <v>2472</v>
      </c>
      <c r="G37" s="2846"/>
    </row>
    <row r="38" spans="1:7" ht="19.5" customHeight="1">
      <c r="A38" s="3482"/>
      <c r="B38" s="3479"/>
      <c r="C38" s="2847" t="s">
        <v>2473</v>
      </c>
      <c r="D38" s="2848"/>
      <c r="E38" s="2849">
        <v>0.6</v>
      </c>
      <c r="F38" s="2846" t="s">
        <v>2474</v>
      </c>
      <c r="G38" s="2846"/>
    </row>
    <row r="39" spans="1:7" ht="19.5" customHeight="1" thickBot="1">
      <c r="A39" s="3483"/>
      <c r="B39" s="348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85" t="s">
        <v>2609</v>
      </c>
      <c r="B41" s="3478" t="s">
        <v>2633</v>
      </c>
      <c r="C41" s="2843" t="s">
        <v>2478</v>
      </c>
      <c r="D41" s="2844"/>
      <c r="E41" s="2845">
        <v>1</v>
      </c>
      <c r="F41" s="2846" t="s">
        <v>2479</v>
      </c>
      <c r="G41" s="2846"/>
    </row>
    <row r="42" spans="1:7" ht="19.5" customHeight="1">
      <c r="A42" s="3486"/>
      <c r="B42" s="3479"/>
      <c r="C42" s="2847" t="s">
        <v>2480</v>
      </c>
      <c r="D42" s="2848"/>
      <c r="E42" s="2849">
        <v>1</v>
      </c>
      <c r="F42" s="2846" t="s">
        <v>2481</v>
      </c>
      <c r="G42" s="2846"/>
    </row>
    <row r="43" spans="1:7" ht="19.5" customHeight="1">
      <c r="A43" s="3486"/>
      <c r="B43" s="3488"/>
      <c r="C43" s="2847" t="s">
        <v>2482</v>
      </c>
      <c r="D43" s="2848"/>
      <c r="E43" s="2849">
        <v>1.5</v>
      </c>
      <c r="F43" s="2846" t="s">
        <v>2483</v>
      </c>
      <c r="G43" s="2846"/>
    </row>
    <row r="44" spans="1:7" ht="19.5" customHeight="1">
      <c r="A44" s="3486"/>
      <c r="B44" s="2858" t="s">
        <v>2634</v>
      </c>
      <c r="C44" s="2847" t="s">
        <v>2635</v>
      </c>
      <c r="D44" s="2848"/>
      <c r="E44" s="2849">
        <v>2</v>
      </c>
      <c r="F44" s="2846" t="s">
        <v>2484</v>
      </c>
      <c r="G44" s="2846"/>
    </row>
    <row r="45" spans="1:7" ht="19.5" customHeight="1">
      <c r="A45" s="3486"/>
      <c r="B45" s="3484" t="s">
        <v>2636</v>
      </c>
      <c r="C45" s="2847" t="s">
        <v>2485</v>
      </c>
      <c r="D45" s="2848"/>
      <c r="E45" s="2849">
        <v>1</v>
      </c>
      <c r="F45" s="2846" t="s">
        <v>2486</v>
      </c>
      <c r="G45" s="2846"/>
    </row>
    <row r="46" spans="1:7" ht="19.5" customHeight="1">
      <c r="A46" s="3486"/>
      <c r="B46" s="3479"/>
      <c r="C46" s="2847" t="s">
        <v>2487</v>
      </c>
      <c r="D46" s="2848"/>
      <c r="E46" s="2849">
        <v>1</v>
      </c>
      <c r="F46" s="2846" t="s">
        <v>2488</v>
      </c>
      <c r="G46" s="2846"/>
    </row>
    <row r="47" spans="1:7" ht="19.5" customHeight="1">
      <c r="A47" s="3486"/>
      <c r="B47" s="3479"/>
      <c r="C47" s="2847" t="s">
        <v>2489</v>
      </c>
      <c r="D47" s="2848"/>
      <c r="E47" s="2849">
        <v>1</v>
      </c>
      <c r="F47" s="2846" t="s">
        <v>2490</v>
      </c>
      <c r="G47" s="2846"/>
    </row>
    <row r="48" spans="1:7" ht="19.5" customHeight="1">
      <c r="A48" s="3486"/>
      <c r="B48" s="3479"/>
      <c r="C48" s="2847" t="s">
        <v>2491</v>
      </c>
      <c r="D48" s="2848"/>
      <c r="E48" s="2849">
        <v>1</v>
      </c>
      <c r="F48" s="2846" t="s">
        <v>2492</v>
      </c>
      <c r="G48" s="2846"/>
    </row>
    <row r="49" spans="1:7" ht="19.5" customHeight="1">
      <c r="A49" s="3486"/>
      <c r="B49" s="3479"/>
      <c r="C49" s="2847" t="s">
        <v>2493</v>
      </c>
      <c r="D49" s="2848"/>
      <c r="E49" s="2849">
        <v>1</v>
      </c>
      <c r="F49" s="2846" t="s">
        <v>2494</v>
      </c>
      <c r="G49" s="2846"/>
    </row>
    <row r="50" spans="1:7" ht="19.5" customHeight="1">
      <c r="A50" s="3486"/>
      <c r="B50" s="3479"/>
      <c r="C50" s="2847" t="s">
        <v>2495</v>
      </c>
      <c r="D50" s="2848"/>
      <c r="E50" s="2849">
        <v>1</v>
      </c>
      <c r="F50" s="2846" t="s">
        <v>2496</v>
      </c>
      <c r="G50" s="2846"/>
    </row>
    <row r="51" spans="1:7" ht="19.5" customHeight="1" thickBot="1">
      <c r="A51" s="3487"/>
      <c r="B51" s="348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84" t="s">
        <v>2650</v>
      </c>
      <c r="C73" s="2832" t="s">
        <v>2651</v>
      </c>
      <c r="D73" s="2832" t="s">
        <v>2652</v>
      </c>
      <c r="E73" s="2858">
        <v>0.2</v>
      </c>
      <c r="F73" s="2858">
        <v>25</v>
      </c>
    </row>
    <row r="74" spans="1:7" ht="24">
      <c r="A74" s="2858">
        <v>2</v>
      </c>
      <c r="B74" s="3479"/>
      <c r="C74" s="2832" t="s">
        <v>2653</v>
      </c>
      <c r="D74" s="2832" t="s">
        <v>2654</v>
      </c>
      <c r="E74" s="2858">
        <v>0.2</v>
      </c>
      <c r="F74" s="2858">
        <v>25</v>
      </c>
    </row>
    <row r="75" spans="1:7" ht="24">
      <c r="A75" s="2858">
        <v>3</v>
      </c>
      <c r="B75" s="3479"/>
      <c r="C75" s="2832" t="s">
        <v>2655</v>
      </c>
      <c r="D75" s="2832" t="s">
        <v>2656</v>
      </c>
      <c r="E75" s="2858">
        <v>0.2</v>
      </c>
      <c r="F75" s="2858">
        <v>25</v>
      </c>
    </row>
    <row r="76" spans="1:7" ht="13.5">
      <c r="A76" s="2858">
        <v>4</v>
      </c>
      <c r="B76" s="3479"/>
      <c r="C76" s="2832" t="s">
        <v>2657</v>
      </c>
      <c r="D76" s="2832" t="s">
        <v>2658</v>
      </c>
      <c r="E76" s="2858">
        <v>0.15</v>
      </c>
      <c r="F76" s="2858">
        <v>20</v>
      </c>
    </row>
    <row r="77" spans="1:7" ht="24">
      <c r="A77" s="2858">
        <v>5</v>
      </c>
      <c r="B77" s="3479"/>
      <c r="C77" s="2832" t="s">
        <v>2659</v>
      </c>
      <c r="D77" s="2832" t="s">
        <v>2660</v>
      </c>
      <c r="E77" s="2858">
        <v>0.15</v>
      </c>
      <c r="F77" s="2858">
        <v>20</v>
      </c>
    </row>
    <row r="78" spans="1:7" ht="24">
      <c r="A78" s="2858">
        <v>6</v>
      </c>
      <c r="B78" s="3479"/>
      <c r="C78" s="2832" t="s">
        <v>2661</v>
      </c>
      <c r="D78" s="2832" t="s">
        <v>2662</v>
      </c>
      <c r="E78" s="2858">
        <v>0.15</v>
      </c>
      <c r="F78" s="2858">
        <v>20</v>
      </c>
    </row>
    <row r="79" spans="1:7" ht="24">
      <c r="A79" s="2858">
        <v>7</v>
      </c>
      <c r="B79" s="3479"/>
      <c r="C79" s="2832" t="s">
        <v>2663</v>
      </c>
      <c r="D79" s="2832" t="s">
        <v>2664</v>
      </c>
      <c r="E79" s="2858">
        <v>0.15</v>
      </c>
      <c r="F79" s="2858">
        <v>20</v>
      </c>
    </row>
    <row r="80" spans="1:7" ht="24">
      <c r="A80" s="2858">
        <v>8</v>
      </c>
      <c r="B80" s="3479"/>
      <c r="C80" s="2832" t="s">
        <v>2665</v>
      </c>
      <c r="D80" s="2832" t="s">
        <v>2666</v>
      </c>
      <c r="E80" s="2858">
        <v>0.1</v>
      </c>
      <c r="F80" s="2858">
        <v>15</v>
      </c>
    </row>
    <row r="81" spans="1:6" ht="24">
      <c r="A81" s="2858">
        <v>9</v>
      </c>
      <c r="B81" s="3479"/>
      <c r="C81" s="2832" t="s">
        <v>2667</v>
      </c>
      <c r="D81" s="2832" t="s">
        <v>2668</v>
      </c>
      <c r="E81" s="2858">
        <v>0.1</v>
      </c>
      <c r="F81" s="2858">
        <v>15</v>
      </c>
    </row>
    <row r="82" spans="1:6" ht="24">
      <c r="A82" s="2858">
        <v>10</v>
      </c>
      <c r="B82" s="3479"/>
      <c r="C82" s="2832" t="s">
        <v>2669</v>
      </c>
      <c r="D82" s="2832" t="s">
        <v>2670</v>
      </c>
      <c r="E82" s="2858">
        <v>0.1</v>
      </c>
      <c r="F82" s="2858">
        <v>15</v>
      </c>
    </row>
    <row r="83" spans="1:6" ht="24">
      <c r="A83" s="2858">
        <v>11</v>
      </c>
      <c r="B83" s="3479"/>
      <c r="C83" s="2832" t="s">
        <v>2671</v>
      </c>
      <c r="D83" s="2832" t="s">
        <v>2672</v>
      </c>
      <c r="E83" s="2858">
        <v>0.1</v>
      </c>
      <c r="F83" s="2858">
        <v>15</v>
      </c>
    </row>
    <row r="84" spans="1:6" ht="24">
      <c r="A84" s="2858">
        <v>12</v>
      </c>
      <c r="B84" s="3479"/>
      <c r="C84" s="2832" t="s">
        <v>2673</v>
      </c>
      <c r="D84" s="2832" t="s">
        <v>2674</v>
      </c>
      <c r="E84" s="2858">
        <v>0.1</v>
      </c>
      <c r="F84" s="2858">
        <v>15</v>
      </c>
    </row>
    <row r="85" spans="1:6" ht="13.5">
      <c r="A85" s="2858">
        <v>13</v>
      </c>
      <c r="B85" s="3479"/>
      <c r="C85" s="2832" t="s">
        <v>2675</v>
      </c>
      <c r="D85" s="2832" t="s">
        <v>2676</v>
      </c>
      <c r="E85" s="2858">
        <v>0.1</v>
      </c>
      <c r="F85" s="2858">
        <v>15</v>
      </c>
    </row>
    <row r="86" spans="1:6" ht="13.5">
      <c r="A86" s="2858">
        <v>14</v>
      </c>
      <c r="B86" s="3479"/>
      <c r="C86" s="2832" t="s">
        <v>2677</v>
      </c>
      <c r="D86" s="2832" t="s">
        <v>2678</v>
      </c>
      <c r="E86" s="2858">
        <v>0.1</v>
      </c>
      <c r="F86" s="2858">
        <v>15</v>
      </c>
    </row>
    <row r="87" spans="1:6" ht="13.5">
      <c r="A87" s="2858">
        <v>15</v>
      </c>
      <c r="B87" s="3479"/>
      <c r="C87" s="2832" t="s">
        <v>2679</v>
      </c>
      <c r="D87" s="2832" t="s">
        <v>2680</v>
      </c>
      <c r="E87" s="2858">
        <v>0.1</v>
      </c>
      <c r="F87" s="2858">
        <v>15</v>
      </c>
    </row>
    <row r="88" spans="1:6" ht="24">
      <c r="A88" s="2858">
        <v>16</v>
      </c>
      <c r="B88" s="3479"/>
      <c r="C88" s="2832" t="s">
        <v>2681</v>
      </c>
      <c r="D88" s="2832" t="s">
        <v>2682</v>
      </c>
      <c r="E88" s="2858">
        <v>0.1</v>
      </c>
      <c r="F88" s="2858">
        <v>15</v>
      </c>
    </row>
    <row r="89" spans="1:6" ht="24">
      <c r="A89" s="2858">
        <v>17</v>
      </c>
      <c r="B89" s="3488"/>
      <c r="C89" s="2832" t="s">
        <v>2683</v>
      </c>
      <c r="D89" s="2832" t="s">
        <v>2684</v>
      </c>
      <c r="E89" s="2858">
        <v>0.1</v>
      </c>
      <c r="F89" s="2858">
        <v>15</v>
      </c>
    </row>
    <row r="90" spans="1:6" ht="13.5">
      <c r="A90" s="2858">
        <v>18</v>
      </c>
      <c r="B90" s="3484" t="s">
        <v>2685</v>
      </c>
      <c r="C90" s="2832" t="s">
        <v>2686</v>
      </c>
      <c r="D90" s="2832" t="s">
        <v>2687</v>
      </c>
      <c r="E90" s="2858">
        <v>0.2</v>
      </c>
      <c r="F90" s="2858">
        <v>25</v>
      </c>
    </row>
    <row r="91" spans="1:6" ht="24">
      <c r="A91" s="2858">
        <v>19</v>
      </c>
      <c r="B91" s="3479"/>
      <c r="C91" s="2832" t="s">
        <v>2688</v>
      </c>
      <c r="D91" s="2832" t="s">
        <v>2689</v>
      </c>
      <c r="E91" s="2858">
        <v>0.2</v>
      </c>
      <c r="F91" s="2858">
        <v>25</v>
      </c>
    </row>
    <row r="92" spans="1:6" ht="13.5">
      <c r="A92" s="2858">
        <v>20</v>
      </c>
      <c r="B92" s="3479"/>
      <c r="C92" s="2832" t="s">
        <v>2690</v>
      </c>
      <c r="D92" s="2832" t="s">
        <v>2691</v>
      </c>
      <c r="E92" s="2858">
        <v>0.15</v>
      </c>
      <c r="F92" s="2858">
        <v>20</v>
      </c>
    </row>
    <row r="93" spans="1:6" ht="13.5">
      <c r="A93" s="2858">
        <v>21</v>
      </c>
      <c r="B93" s="3479"/>
      <c r="C93" s="2832" t="s">
        <v>2692</v>
      </c>
      <c r="D93" s="2832" t="s">
        <v>2693</v>
      </c>
      <c r="E93" s="2858">
        <v>0.15</v>
      </c>
      <c r="F93" s="2858">
        <v>20</v>
      </c>
    </row>
    <row r="94" spans="1:6" ht="13.5">
      <c r="A94" s="2858">
        <v>22</v>
      </c>
      <c r="B94" s="3479"/>
      <c r="C94" s="2832" t="s">
        <v>2694</v>
      </c>
      <c r="D94" s="2832" t="s">
        <v>2695</v>
      </c>
      <c r="E94" s="2858">
        <v>0.15</v>
      </c>
      <c r="F94" s="2858">
        <v>20</v>
      </c>
    </row>
    <row r="95" spans="1:6" ht="36">
      <c r="A95" s="2858">
        <v>23</v>
      </c>
      <c r="B95" s="3479"/>
      <c r="C95" s="2832" t="s">
        <v>2696</v>
      </c>
      <c r="D95" s="2832" t="s">
        <v>2697</v>
      </c>
      <c r="E95" s="2858">
        <v>0.15</v>
      </c>
      <c r="F95" s="2858">
        <v>20</v>
      </c>
    </row>
    <row r="96" spans="1:6" ht="13.5">
      <c r="A96" s="2858">
        <v>24</v>
      </c>
      <c r="B96" s="3479"/>
      <c r="C96" s="2832" t="s">
        <v>2698</v>
      </c>
      <c r="D96" s="2832" t="s">
        <v>2699</v>
      </c>
      <c r="E96" s="2858">
        <v>0.1</v>
      </c>
      <c r="F96" s="2858">
        <v>15</v>
      </c>
    </row>
    <row r="97" spans="1:6" ht="13.5">
      <c r="A97" s="2858">
        <v>25</v>
      </c>
      <c r="B97" s="3479"/>
      <c r="C97" s="2832" t="s">
        <v>2700</v>
      </c>
      <c r="D97" s="2832" t="s">
        <v>2701</v>
      </c>
      <c r="E97" s="2858">
        <v>0.1</v>
      </c>
      <c r="F97" s="2858">
        <v>15</v>
      </c>
    </row>
    <row r="98" spans="1:6" ht="24">
      <c r="A98" s="2858">
        <v>26</v>
      </c>
      <c r="B98" s="3479"/>
      <c r="C98" s="2832" t="s">
        <v>2702</v>
      </c>
      <c r="D98" s="2832" t="s">
        <v>2703</v>
      </c>
      <c r="E98" s="2858">
        <v>0.1</v>
      </c>
      <c r="F98" s="2858">
        <v>15</v>
      </c>
    </row>
    <row r="99" spans="1:6" ht="24">
      <c r="A99" s="2858">
        <v>27</v>
      </c>
      <c r="B99" s="3479"/>
      <c r="C99" s="2832" t="s">
        <v>2704</v>
      </c>
      <c r="D99" s="2832" t="s">
        <v>2705</v>
      </c>
      <c r="E99" s="2858">
        <v>0.1</v>
      </c>
      <c r="F99" s="2858">
        <v>15</v>
      </c>
    </row>
    <row r="100" spans="1:6" ht="13.5">
      <c r="A100" s="2858">
        <v>28</v>
      </c>
      <c r="B100" s="3479"/>
      <c r="C100" s="2832" t="s">
        <v>2706</v>
      </c>
      <c r="D100" s="2832" t="s">
        <v>2707</v>
      </c>
      <c r="E100" s="2858">
        <v>0.1</v>
      </c>
      <c r="F100" s="2858">
        <v>15</v>
      </c>
    </row>
    <row r="101" spans="1:6" ht="13.5">
      <c r="A101" s="2858">
        <v>29</v>
      </c>
      <c r="B101" s="3479"/>
      <c r="C101" s="2832" t="s">
        <v>2708</v>
      </c>
      <c r="D101" s="2832" t="s">
        <v>2709</v>
      </c>
      <c r="E101" s="2858">
        <v>0.1</v>
      </c>
      <c r="F101" s="2858">
        <v>15</v>
      </c>
    </row>
    <row r="102" spans="1:6" ht="13.5">
      <c r="A102" s="2858">
        <v>30</v>
      </c>
      <c r="B102" s="3479"/>
      <c r="C102" s="2832" t="s">
        <v>2710</v>
      </c>
      <c r="D102" s="2832" t="s">
        <v>2711</v>
      </c>
      <c r="E102" s="2858">
        <v>0.1</v>
      </c>
      <c r="F102" s="2858">
        <v>15</v>
      </c>
    </row>
    <row r="103" spans="1:6" ht="24">
      <c r="A103" s="2858">
        <v>31</v>
      </c>
      <c r="B103" s="3479"/>
      <c r="C103" s="2832" t="s">
        <v>2712</v>
      </c>
      <c r="D103" s="2832" t="s">
        <v>2713</v>
      </c>
      <c r="E103" s="2858">
        <v>0.1</v>
      </c>
      <c r="F103" s="2858">
        <v>15</v>
      </c>
    </row>
    <row r="104" spans="1:6" ht="24">
      <c r="A104" s="2858">
        <v>32</v>
      </c>
      <c r="B104" s="3479"/>
      <c r="C104" s="2832" t="s">
        <v>2714</v>
      </c>
      <c r="D104" s="2832" t="s">
        <v>2715</v>
      </c>
      <c r="E104" s="2858">
        <v>0.1</v>
      </c>
      <c r="F104" s="2858">
        <v>15</v>
      </c>
    </row>
    <row r="105" spans="1:6" ht="24">
      <c r="A105" s="2858">
        <v>33</v>
      </c>
      <c r="B105" s="3479"/>
      <c r="C105" s="2832" t="s">
        <v>2716</v>
      </c>
      <c r="D105" s="2832" t="s">
        <v>2717</v>
      </c>
      <c r="E105" s="2858">
        <v>0.1</v>
      </c>
      <c r="F105" s="2858">
        <v>15</v>
      </c>
    </row>
    <row r="106" spans="1:6" ht="24">
      <c r="A106" s="2858">
        <v>34</v>
      </c>
      <c r="B106" s="3488"/>
      <c r="C106" s="2832" t="s">
        <v>2718</v>
      </c>
      <c r="D106" s="2832" t="s">
        <v>2719</v>
      </c>
      <c r="E106" s="2858">
        <v>0.1</v>
      </c>
      <c r="F106" s="2858">
        <v>15</v>
      </c>
    </row>
    <row r="107" spans="1:6" ht="24">
      <c r="A107" s="2858">
        <v>35</v>
      </c>
      <c r="B107" s="3484" t="s">
        <v>2720</v>
      </c>
      <c r="C107" s="2858" t="s">
        <v>2721</v>
      </c>
      <c r="D107" s="2832" t="s">
        <v>2722</v>
      </c>
      <c r="E107" s="2858">
        <v>0.15</v>
      </c>
      <c r="F107" s="2858">
        <v>20</v>
      </c>
    </row>
    <row r="108" spans="1:6" ht="13.5">
      <c r="A108" s="2858">
        <v>36</v>
      </c>
      <c r="B108" s="3479"/>
      <c r="C108" s="2858" t="s">
        <v>2723</v>
      </c>
      <c r="D108" s="2832" t="s">
        <v>2724</v>
      </c>
      <c r="E108" s="2858">
        <v>0.15</v>
      </c>
      <c r="F108" s="2858">
        <v>20</v>
      </c>
    </row>
    <row r="109" spans="1:6" ht="13.5">
      <c r="A109" s="2858">
        <v>37</v>
      </c>
      <c r="B109" s="3479"/>
      <c r="C109" s="2858" t="s">
        <v>2725</v>
      </c>
      <c r="D109" s="2832" t="s">
        <v>2726</v>
      </c>
      <c r="E109" s="2858">
        <v>0.15</v>
      </c>
      <c r="F109" s="2858">
        <v>20</v>
      </c>
    </row>
    <row r="110" spans="1:6" ht="13.5">
      <c r="A110" s="2858">
        <v>38</v>
      </c>
      <c r="B110" s="3479"/>
      <c r="C110" s="2858" t="s">
        <v>2727</v>
      </c>
      <c r="D110" s="2832" t="s">
        <v>2728</v>
      </c>
      <c r="E110" s="2858">
        <v>0.1</v>
      </c>
      <c r="F110" s="2858">
        <v>15</v>
      </c>
    </row>
    <row r="111" spans="1:6" ht="24">
      <c r="A111" s="2858">
        <v>39</v>
      </c>
      <c r="B111" s="3479"/>
      <c r="C111" s="2858" t="s">
        <v>2729</v>
      </c>
      <c r="D111" s="2832" t="s">
        <v>2730</v>
      </c>
      <c r="E111" s="2858">
        <v>0.1</v>
      </c>
      <c r="F111" s="2858">
        <v>15</v>
      </c>
    </row>
    <row r="112" spans="1:6" ht="24">
      <c r="A112" s="2858">
        <v>40</v>
      </c>
      <c r="B112" s="3488"/>
      <c r="C112" s="2858" t="s">
        <v>2731</v>
      </c>
      <c r="D112" s="2832" t="s">
        <v>2732</v>
      </c>
      <c r="E112" s="2858">
        <v>0.1</v>
      </c>
      <c r="F112" s="2858">
        <v>15</v>
      </c>
    </row>
    <row r="113" spans="1:6" ht="13.5">
      <c r="A113" s="2858">
        <v>41</v>
      </c>
      <c r="B113" s="3489" t="s">
        <v>2733</v>
      </c>
      <c r="C113" s="2858" t="s">
        <v>2734</v>
      </c>
      <c r="D113" s="2832" t="s">
        <v>2735</v>
      </c>
      <c r="E113" s="2858">
        <v>0.1</v>
      </c>
      <c r="F113" s="2858">
        <v>15</v>
      </c>
    </row>
    <row r="114" spans="1:6" ht="13.5">
      <c r="A114" s="2858">
        <v>42</v>
      </c>
      <c r="B114" s="3489"/>
      <c r="C114" s="2858" t="s">
        <v>2736</v>
      </c>
      <c r="D114" s="2832" t="s">
        <v>2737</v>
      </c>
      <c r="E114" s="2858">
        <v>0.1</v>
      </c>
      <c r="F114" s="2858">
        <v>15</v>
      </c>
    </row>
    <row r="115" spans="1:6" ht="24">
      <c r="A115" s="2858">
        <v>43</v>
      </c>
      <c r="B115" s="3489"/>
      <c r="C115" s="2858" t="s">
        <v>2738</v>
      </c>
      <c r="D115" s="2832" t="s">
        <v>2739</v>
      </c>
      <c r="E115" s="2858">
        <v>0.1</v>
      </c>
      <c r="F115" s="2858">
        <v>15</v>
      </c>
    </row>
    <row r="116" spans="1:6" ht="13.5">
      <c r="A116" s="2858">
        <v>44</v>
      </c>
      <c r="B116" s="3484" t="s">
        <v>2740</v>
      </c>
      <c r="C116" s="2858" t="s">
        <v>2741</v>
      </c>
      <c r="D116" s="2832" t="s">
        <v>2742</v>
      </c>
      <c r="E116" s="2858">
        <v>0.1</v>
      </c>
      <c r="F116" s="2858">
        <v>15</v>
      </c>
    </row>
    <row r="117" spans="1:6" ht="24">
      <c r="A117" s="2858">
        <v>45</v>
      </c>
      <c r="B117" s="3488"/>
      <c r="C117" s="2832" t="s">
        <v>2743</v>
      </c>
      <c r="D117" s="2832" t="s">
        <v>2744</v>
      </c>
      <c r="E117" s="2858">
        <v>0.1</v>
      </c>
      <c r="F117" s="2858">
        <v>15</v>
      </c>
    </row>
    <row r="118" spans="1:6" ht="24">
      <c r="A118" s="2858">
        <v>46</v>
      </c>
      <c r="B118" s="3484" t="s">
        <v>2745</v>
      </c>
      <c r="C118" s="2858" t="s">
        <v>2746</v>
      </c>
      <c r="D118" s="2832" t="s">
        <v>2747</v>
      </c>
      <c r="E118" s="2858">
        <v>0.1</v>
      </c>
      <c r="F118" s="2858">
        <v>15</v>
      </c>
    </row>
    <row r="119" spans="1:6" ht="24">
      <c r="A119" s="2858">
        <v>47</v>
      </c>
      <c r="B119" s="3488"/>
      <c r="C119" s="2858" t="s">
        <v>2748</v>
      </c>
      <c r="D119" s="2832" t="s">
        <v>2749</v>
      </c>
      <c r="E119" s="2858">
        <v>0.1</v>
      </c>
      <c r="F119" s="2858">
        <v>15</v>
      </c>
    </row>
    <row r="120" spans="1:6" ht="13.5">
      <c r="A120" s="2858">
        <v>48</v>
      </c>
      <c r="B120" s="3484" t="s">
        <v>2750</v>
      </c>
      <c r="C120" s="2858" t="s">
        <v>2751</v>
      </c>
      <c r="D120" s="2832" t="s">
        <v>2752</v>
      </c>
      <c r="E120" s="2858">
        <v>0.1</v>
      </c>
      <c r="F120" s="2858">
        <v>15</v>
      </c>
    </row>
    <row r="121" spans="1:6" ht="13.5">
      <c r="A121" s="2858">
        <v>49</v>
      </c>
      <c r="B121" s="3488"/>
      <c r="C121" s="2858" t="s">
        <v>2753</v>
      </c>
      <c r="D121" s="2832" t="s">
        <v>2754</v>
      </c>
      <c r="E121" s="2858">
        <v>0.1</v>
      </c>
      <c r="F121" s="2858">
        <v>15</v>
      </c>
    </row>
    <row r="122" spans="1:6" ht="24">
      <c r="A122" s="2858">
        <v>50</v>
      </c>
      <c r="B122" s="3489" t="s">
        <v>2755</v>
      </c>
      <c r="C122" s="2858" t="s">
        <v>2756</v>
      </c>
      <c r="D122" s="2832" t="s">
        <v>2757</v>
      </c>
      <c r="E122" s="2858">
        <v>0.1</v>
      </c>
      <c r="F122" s="2858">
        <v>15</v>
      </c>
    </row>
    <row r="123" spans="1:6" ht="24">
      <c r="A123" s="2858">
        <v>51</v>
      </c>
      <c r="B123" s="3489"/>
      <c r="C123" s="2858" t="s">
        <v>2758</v>
      </c>
      <c r="D123" s="2832" t="s">
        <v>2759</v>
      </c>
      <c r="E123" s="2858">
        <v>0.1</v>
      </c>
      <c r="F123" s="2858">
        <v>15</v>
      </c>
    </row>
    <row r="124" spans="1:6" ht="24">
      <c r="A124" s="2858">
        <v>52</v>
      </c>
      <c r="B124" s="3489" t="s">
        <v>2760</v>
      </c>
      <c r="C124" s="2858" t="s">
        <v>2761</v>
      </c>
      <c r="D124" s="2832" t="s">
        <v>2762</v>
      </c>
      <c r="E124" s="2858">
        <v>0.1</v>
      </c>
      <c r="F124" s="2858">
        <v>15</v>
      </c>
    </row>
    <row r="125" spans="1:6" ht="24">
      <c r="A125" s="2858">
        <v>53</v>
      </c>
      <c r="B125" s="348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89" t="s">
        <v>2768</v>
      </c>
      <c r="C127" s="2858" t="s">
        <v>2769</v>
      </c>
      <c r="D127" s="2832" t="s">
        <v>2770</v>
      </c>
      <c r="E127" s="2858">
        <v>0.1</v>
      </c>
      <c r="F127" s="2858">
        <v>15</v>
      </c>
    </row>
    <row r="128" spans="1:6" ht="13.5">
      <c r="A128" s="2858">
        <v>56</v>
      </c>
      <c r="B128" s="3489"/>
      <c r="C128" s="2858" t="s">
        <v>2771</v>
      </c>
      <c r="D128" s="2832" t="s">
        <v>2772</v>
      </c>
      <c r="E128" s="2858">
        <v>0.1</v>
      </c>
      <c r="F128" s="2858">
        <v>15</v>
      </c>
    </row>
    <row r="129" spans="1:6" ht="24">
      <c r="A129" s="2858">
        <v>57</v>
      </c>
      <c r="B129" s="3489"/>
      <c r="C129" s="2858" t="s">
        <v>2773</v>
      </c>
      <c r="D129" s="2832" t="s">
        <v>2774</v>
      </c>
      <c r="E129" s="2858">
        <v>0.1</v>
      </c>
      <c r="F129" s="2858">
        <v>15</v>
      </c>
    </row>
    <row r="130" spans="1:6" ht="24">
      <c r="A130" s="2858">
        <v>58</v>
      </c>
      <c r="B130" s="3489" t="s">
        <v>2775</v>
      </c>
      <c r="C130" s="2858" t="s">
        <v>2776</v>
      </c>
      <c r="D130" s="2832" t="s">
        <v>2777</v>
      </c>
      <c r="E130" s="2858">
        <v>0.1</v>
      </c>
      <c r="F130" s="2858">
        <v>15</v>
      </c>
    </row>
    <row r="131" spans="1:6" ht="13.5">
      <c r="A131" s="2858">
        <v>59</v>
      </c>
      <c r="B131" s="3489"/>
      <c r="C131" s="2858" t="s">
        <v>2778</v>
      </c>
      <c r="D131" s="2832" t="s">
        <v>2779</v>
      </c>
      <c r="E131" s="2858">
        <v>0.1</v>
      </c>
      <c r="F131" s="2858">
        <v>15</v>
      </c>
    </row>
    <row r="132" spans="1:6" ht="13.5">
      <c r="A132" s="2858">
        <v>60</v>
      </c>
      <c r="B132" s="3484" t="s">
        <v>2780</v>
      </c>
      <c r="C132" s="2858" t="s">
        <v>2781</v>
      </c>
      <c r="D132" s="2832" t="s">
        <v>2782</v>
      </c>
      <c r="E132" s="2858">
        <v>0.1</v>
      </c>
      <c r="F132" s="2858">
        <v>15</v>
      </c>
    </row>
    <row r="133" spans="1:6" ht="13.5">
      <c r="A133" s="2858">
        <v>61</v>
      </c>
      <c r="B133" s="348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89" t="s">
        <v>2788</v>
      </c>
      <c r="C135" s="2858" t="s">
        <v>2789</v>
      </c>
      <c r="D135" s="2832" t="s">
        <v>2790</v>
      </c>
      <c r="E135" s="2858">
        <v>0.1</v>
      </c>
      <c r="F135" s="2858">
        <v>15</v>
      </c>
    </row>
    <row r="136" spans="1:6" ht="13.5">
      <c r="A136" s="2858">
        <v>64</v>
      </c>
      <c r="B136" s="348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f ca="1">结果表!H101</f>
        <v>8247</v>
      </c>
    </row>
    <row r="6" spans="1:5" ht="15.75">
      <c r="B6" s="3175"/>
      <c r="C6" s="1392" t="s">
        <v>911</v>
      </c>
      <c r="D6" s="797" t="str">
        <f ca="1">NUMBERSTRING(INT(D5*10000),2)&amp;"元整"</f>
        <v>捌仟贰佰肆拾柒万元整</v>
      </c>
    </row>
    <row r="7" spans="1:5" ht="15.75">
      <c r="B7" s="3180"/>
      <c r="C7" s="1393" t="s">
        <v>912</v>
      </c>
      <c r="D7" s="798">
        <f ca="1">结果表!H102</f>
        <v>4810</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f ca="1">结果表!H107</f>
        <v>8247</v>
      </c>
    </row>
    <row r="14" spans="1:5" ht="15.75">
      <c r="B14" s="3175"/>
      <c r="C14" s="1392" t="s">
        <v>911</v>
      </c>
      <c r="D14" s="797" t="str">
        <f ca="1">NUMBERSTRING(INT(D13*10000),2)&amp;"元整"</f>
        <v>捌仟贰佰肆拾柒万元整</v>
      </c>
    </row>
    <row r="15" spans="1:5" ht="15">
      <c r="B15" s="3180"/>
      <c r="C15" s="1393" t="s">
        <v>921</v>
      </c>
      <c r="D15" s="806">
        <f ca="1">结果表!H108</f>
        <v>4810</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1.2302</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1.1198999999999999</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35765</v>
      </c>
      <c r="C2" s="2" t="s">
        <v>106</v>
      </c>
      <c r="D2" s="191"/>
      <c r="E2" s="191"/>
      <c r="F2" s="191"/>
      <c r="G2" s="191"/>
    </row>
    <row r="3" spans="1:7" s="192" customFormat="1" ht="18" customHeight="1" thickBot="1">
      <c r="A3" s="195" t="s">
        <v>58</v>
      </c>
      <c r="B3" s="196">
        <f ca="1">ROUND(B2*10000/'数据-汇总表'!E3,0)</f>
        <v>20861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137</v>
      </c>
      <c r="D10" s="795">
        <f>'数据-汇总表'!E6</f>
        <v>17144.699999999997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343</v>
      </c>
      <c r="D19" s="204">
        <f>'数据-汇总表'!E3</f>
        <v>17144.699999999997</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2137</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2137</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26856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7681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6858</v>
      </c>
      <c r="D34" s="209"/>
      <c r="E34" s="212"/>
      <c r="F34" s="249">
        <f>IF('数据-取费表'!B24=0,1,'数据-取费表'!N16)</f>
        <v>1</v>
      </c>
      <c r="G34" s="211" t="s">
        <v>89</v>
      </c>
    </row>
    <row r="35" spans="1:7" ht="13.5" customHeight="1">
      <c r="A35" s="734" t="s">
        <v>351</v>
      </c>
      <c r="B35" s="207" t="s">
        <v>33</v>
      </c>
      <c r="C35" s="212">
        <f>ROUND(C34*F35,0)</f>
        <v>343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343</v>
      </c>
      <c r="D37" s="209">
        <f>'数据-汇总表'!E3</f>
        <v>17144.699999999997</v>
      </c>
      <c r="E37" s="241">
        <f>'数据-取费表'!B35</f>
        <v>200</v>
      </c>
      <c r="F37" s="251"/>
      <c r="G37" s="253" t="s">
        <v>92</v>
      </c>
    </row>
    <row r="38" spans="1:7" ht="13.5" customHeight="1">
      <c r="A38" s="734" t="s">
        <v>354</v>
      </c>
      <c r="B38" s="207" t="s">
        <v>36</v>
      </c>
      <c r="C38" s="212">
        <f>ROUND(C34*F38,0)</f>
        <v>137</v>
      </c>
      <c r="D38" s="212"/>
      <c r="E38" s="212"/>
      <c r="F38" s="251">
        <f>'数据-取费表'!B36</f>
        <v>0.02</v>
      </c>
      <c r="G38" s="211" t="s">
        <v>90</v>
      </c>
    </row>
    <row r="39" spans="1:7" s="206" customFormat="1" ht="13.5" customHeight="1">
      <c r="A39" s="731" t="s">
        <v>338</v>
      </c>
      <c r="B39" s="202" t="s">
        <v>77</v>
      </c>
      <c r="C39" s="224">
        <f>ROUND(C33*F20,0)</f>
        <v>154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243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238</v>
      </c>
      <c r="D42" s="230"/>
      <c r="E42" s="230"/>
      <c r="F42" s="231"/>
      <c r="G42" s="3355" t="s">
        <v>94</v>
      </c>
    </row>
    <row r="43" spans="1:7" ht="13.5" customHeight="1">
      <c r="A43" s="734" t="s">
        <v>347</v>
      </c>
      <c r="B43" s="207" t="s">
        <v>426</v>
      </c>
      <c r="C43" s="230">
        <f ca="1">ROUND(IF('数据-取费表'!B22&lt;=1,C39*F22*'数据-取费表'!B21/2,C39*(POWER((1+F22),'数据-取费表'!B21/2)-1)),0)</f>
        <v>5</v>
      </c>
      <c r="D43" s="230"/>
      <c r="E43" s="230"/>
      <c r="F43" s="231"/>
      <c r="G43" s="3356"/>
    </row>
    <row r="44" spans="1:7" ht="13.5" customHeight="1">
      <c r="A44" s="734" t="s">
        <v>348</v>
      </c>
      <c r="B44" s="207" t="s">
        <v>428</v>
      </c>
      <c r="C44" s="230">
        <f ca="1">ROUND(IF('数据-取费表'!B22&lt;=1,C40*F22*'数据-取费表'!B21/2,C40*(POWER((1+F22),'数据-取费表'!B21/2)-1)),4)</f>
        <v>5.9999999999999995E-4</v>
      </c>
      <c r="D44" s="230"/>
      <c r="E44" s="230"/>
      <c r="F44" s="231"/>
      <c r="G44" s="3357"/>
    </row>
    <row r="45" spans="1:7" s="206" customFormat="1" ht="13.5" customHeight="1">
      <c r="A45" s="731" t="s">
        <v>341</v>
      </c>
      <c r="B45" s="236" t="s">
        <v>85</v>
      </c>
      <c r="C45" s="237">
        <f>C46</f>
        <v>784</v>
      </c>
      <c r="D45" s="227">
        <f>C47</f>
        <v>2E-3</v>
      </c>
      <c r="E45" s="228" t="s">
        <v>102</v>
      </c>
      <c r="F45" s="238"/>
      <c r="G45" s="239" t="s">
        <v>434</v>
      </c>
    </row>
    <row r="46" spans="1:7" s="206" customFormat="1" ht="13.5" customHeight="1">
      <c r="A46" s="734" t="s">
        <v>349</v>
      </c>
      <c r="B46" s="240" t="s">
        <v>427</v>
      </c>
      <c r="C46" s="241">
        <f>ROUND((C33+C39)*F27,0)</f>
        <v>784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9580</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8909</v>
      </c>
      <c r="D51" s="224"/>
      <c r="E51" s="224"/>
      <c r="F51" s="256"/>
      <c r="G51" s="226" t="s">
        <v>37</v>
      </c>
    </row>
    <row r="52" spans="1:7" s="200" customFormat="1" ht="16.5" thickBot="1">
      <c r="A52" s="257" t="s">
        <v>38</v>
      </c>
      <c r="B52" s="258"/>
      <c r="C52" s="259">
        <f ca="1">C31+C51</f>
        <v>35765</v>
      </c>
      <c r="D52" s="258"/>
      <c r="E52" s="258"/>
      <c r="F52" s="258"/>
      <c r="G52" s="260"/>
    </row>
    <row r="55" spans="1:7" ht="15">
      <c r="B55" s="262" t="s">
        <v>39</v>
      </c>
      <c r="C55" s="263"/>
    </row>
    <row r="56" spans="1:7">
      <c r="B56" s="265" t="s">
        <v>40</v>
      </c>
      <c r="C56" s="266">
        <f ca="1">ROUND(C51/C52,3)</f>
        <v>0.249</v>
      </c>
    </row>
    <row r="57" spans="1:7">
      <c r="B57" s="265" t="s">
        <v>41</v>
      </c>
      <c r="C57" s="267">
        <f ca="1">1-C56</f>
        <v>0.751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0" t="s">
        <v>3180</v>
      </c>
      <c r="B1" s="349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1" t="s">
        <v>3231</v>
      </c>
      <c r="B1" s="3491"/>
      <c r="C1" s="3491"/>
      <c r="D1" s="3491"/>
      <c r="E1" s="3491"/>
      <c r="F1" s="3492"/>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801" t="s">
        <v>925</v>
      </c>
      <c r="E3" s="801" t="s">
        <v>931</v>
      </c>
      <c r="F3" s="801" t="s">
        <v>925</v>
      </c>
      <c r="G3" s="801" t="s">
        <v>926</v>
      </c>
      <c r="H3" s="801" t="s">
        <v>925</v>
      </c>
      <c r="I3" s="801" t="s">
        <v>926</v>
      </c>
    </row>
    <row r="4" spans="1:9" ht="15">
      <c r="A4" s="1403" t="str">
        <f>项目基本情况!S2</f>
        <v>北京市房地产</v>
      </c>
      <c r="B4" s="801">
        <f>项目基本情况!C17</f>
        <v>17144.699999999997</v>
      </c>
      <c r="C4" s="801">
        <f>项目基本情况!C18</f>
        <v>17333.330000000002</v>
      </c>
      <c r="D4" s="801">
        <f ca="1">结果表!D118</f>
        <v>981</v>
      </c>
      <c r="E4" s="801">
        <f ca="1">结果表!E118</f>
        <v>572</v>
      </c>
      <c r="F4" s="801">
        <f ca="1">结果表!F118</f>
        <v>7266</v>
      </c>
      <c r="G4" s="801">
        <f ca="1">结果表!G118</f>
        <v>4238</v>
      </c>
      <c r="H4" s="801">
        <f ca="1">结果表!H118</f>
        <v>8247</v>
      </c>
      <c r="I4" s="801">
        <f ca="1">结果表!I118</f>
        <v>4810</v>
      </c>
    </row>
    <row r="5" spans="1:9" ht="30" customHeight="1">
      <c r="A5" s="3186" t="s">
        <v>927</v>
      </c>
      <c r="B5" s="3186"/>
      <c r="C5" s="3186"/>
      <c r="D5" s="3186" t="str">
        <f ca="1">结果表!D119</f>
        <v>玖佰捌拾壹万元整</v>
      </c>
      <c r="E5" s="3186"/>
      <c r="F5" s="3186" t="str">
        <f ca="1">结果表!F119</f>
        <v>柒仟贰佰陆拾陆万元整</v>
      </c>
      <c r="G5" s="3186"/>
      <c r="H5" s="3186" t="str">
        <f ca="1">结果表!H119</f>
        <v>捌仟贰佰肆拾柒万元整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f ca="1">结果表!D122</f>
        <v>8247</v>
      </c>
      <c r="E8" s="3187"/>
      <c r="F8" s="3187"/>
      <c r="G8" s="3187"/>
      <c r="H8" s="3187"/>
      <c r="I8" s="3187"/>
    </row>
    <row r="9" spans="1:9" ht="15">
      <c r="A9" s="3186" t="s">
        <v>927</v>
      </c>
      <c r="B9" s="3186"/>
      <c r="C9" s="3186"/>
      <c r="D9" s="3186" t="str">
        <f ca="1">结果表!D123</f>
        <v>捌仟贰佰肆拾柒万元整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45988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2159</v>
      </c>
      <c r="B17" s="3210"/>
      <c r="C17" s="3210"/>
      <c r="D17" s="3210"/>
      <c r="E17" s="3210"/>
      <c r="F17" s="3210"/>
      <c r="G17" s="3210"/>
      <c r="H17" s="3210"/>
    </row>
    <row r="18" spans="1:8" ht="24" customHeight="1">
      <c r="A18" s="3211" t="s">
        <v>2160</v>
      </c>
      <c r="B18" s="3211"/>
      <c r="C18" s="3211"/>
      <c r="D18" s="2160"/>
      <c r="E18" s="3212" t="s">
        <v>2161</v>
      </c>
      <c r="F18" s="3211"/>
      <c r="G18" s="321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2025-11-27T05:35:31Z</dcterms:modified>
</cp:coreProperties>
</file>