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元)" sheetId="69" state="hidden" r:id="rId19"/>
    <sheet name="假设开发法" sheetId="12" state="hidden" r:id="rId20"/>
    <sheet name="比较法-住宅" sheetId="21" r:id="rId21"/>
    <sheet name="收益法" sheetId="15" r:id="rId22"/>
    <sheet name="典型户型修正" sheetId="31"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结果表 -车位" sheetId="85" r:id="rId29"/>
    <sheet name="比较法-车位" sheetId="35" r:id="rId30"/>
    <sheet name="收益法 (元)" sheetId="67" r:id="rId31"/>
    <sheet name="面积信息" sheetId="80" r:id="rId32"/>
    <sheet name="售价案例" sheetId="84" r:id="rId33"/>
    <sheet name="住宅租金案例" sheetId="89" r:id="rId34"/>
    <sheet name="中指案例" sheetId="81" r:id="rId35"/>
    <sheet name="成本法-住宅" sheetId="68" r:id="rId36"/>
    <sheet name="基准地价修正-住宅" sheetId="43" r:id="rId37"/>
    <sheet name="成本法-车位" sheetId="88" r:id="rId38"/>
    <sheet name="基准地价修正-车位" sheetId="87" r:id="rId39"/>
    <sheet name="比较法-仓储" sheetId="36" state="hidden" r:id="rId40"/>
    <sheet name="土地比较法-住宅、综合" sheetId="39" state="hidden" r:id="rId41"/>
    <sheet name="土地比较法-工业" sheetId="40" state="hidden" r:id="rId42"/>
    <sheet name="收益法 （车位）" sheetId="83" r:id="rId43"/>
    <sheet name="基准地价（汇总）" sheetId="76" state="hidden" r:id="rId44"/>
    <sheet name="Sheet7" sheetId="86"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r:id="rId52"/>
    <sheet name="区片价" sheetId="44" r:id="rId53"/>
    <sheet name="存贷款利率" sheetId="73" r:id="rId54"/>
  </sheets>
  <externalReferences>
    <externalReference r:id="rId55"/>
  </externalReferences>
  <definedNames>
    <definedName name="_xlnm._FilterDatabase" localSheetId="26" hidden="1">'比较法-办公'!$A$1:$L$50</definedName>
    <definedName name="_xlnm._FilterDatabase" localSheetId="39"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9">'比较法-仓储'!$A$1:$K$42,'比较法-仓储'!$A$45:$M$96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0">'比较法-住宅'!$A$1:$K$54,'比较法-住宅'!$A$57:$M$131</definedName>
    <definedName name="_xlnm.Print_Area" localSheetId="18">'成本法 (元)'!$A$1:$G$57</definedName>
    <definedName name="_xlnm.Print_Area" localSheetId="37">'成本法-车位'!$A$1:$G$57</definedName>
    <definedName name="_xlnm.Print_Area" localSheetId="35">'成本法-住宅'!$A$1:$G$57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38">'基准地价修正-车位'!$A$1:$J$44,'基准地价修正-车位'!$A$47:$H$101,'基准地价修正-车位'!$R$1:$V$16</definedName>
    <definedName name="_xlnm.Print_Area" localSheetId="36">'基准地价修正-住宅'!$A$1:$J$44,'基准地价修正-住宅'!$A$47:$H$101,'基准地价修正-住宅'!$R$1:$V$16</definedName>
    <definedName name="_xlnm.Print_Area" localSheetId="19">假设开发法!$A$1:$K$32</definedName>
    <definedName name="_xlnm.Print_Area" localSheetId="28">'结果表 -车位'!$A$1:$I$127</definedName>
    <definedName name="_xlnm.Print_Area" localSheetId="17">'结果表-住宅'!$A$1:$I$127</definedName>
    <definedName name="_xlnm.Print_Area" localSheetId="21">收益法!$A$1:$F$43,收益法!$H$3:$M$29,收益法!$A$46:$F$71,收益法!$I$46:$N$65</definedName>
    <definedName name="_xlnm.Print_Area" localSheetId="42">'收益法 （车位）'!$A$1:$F$43,'收益法 （车位）'!$H$3:$M$29,'收益法 （车位）'!$A$46:$F$71,'收益法 （车位）'!$I$46:$N$65</definedName>
    <definedName name="_xlnm.Print_Area" localSheetId="3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85" l="1"/>
  <c r="C88" i="85"/>
  <c r="I91" i="9"/>
  <c r="C88" i="9"/>
  <c r="H7" i="74"/>
  <c r="B56" i="80"/>
  <c r="F7" i="80" s="1"/>
  <c r="B14" i="74" s="1"/>
  <c r="C48" i="88"/>
  <c r="G41" i="88"/>
  <c r="F38" i="88"/>
  <c r="E37" i="88"/>
  <c r="F36" i="88"/>
  <c r="F35" i="88"/>
  <c r="F34" i="88"/>
  <c r="F30" i="88"/>
  <c r="F48" i="88" s="1"/>
  <c r="C30" i="88"/>
  <c r="G22" i="88"/>
  <c r="F21" i="88"/>
  <c r="F40" i="88" s="1"/>
  <c r="F20" i="88"/>
  <c r="F39" i="88" s="1"/>
  <c r="E19" i="88"/>
  <c r="C19" i="88"/>
  <c r="E10" i="88"/>
  <c r="E9" i="88"/>
  <c r="F7" i="88"/>
  <c r="G1" i="88"/>
  <c r="G44" i="87"/>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B101" i="87"/>
  <c r="N100" i="87"/>
  <c r="M100" i="87"/>
  <c r="K100" i="87"/>
  <c r="J100" i="87"/>
  <c r="D100" i="87"/>
  <c r="B100" i="87"/>
  <c r="M99" i="87"/>
  <c r="N99" i="87" s="1"/>
  <c r="K99" i="87"/>
  <c r="J99" i="87"/>
  <c r="D99" i="87"/>
  <c r="B99" i="87"/>
  <c r="M98" i="87"/>
  <c r="N98" i="87" s="1"/>
  <c r="K98" i="87"/>
  <c r="J98" i="87" s="1"/>
  <c r="D98" i="87"/>
  <c r="N97" i="87"/>
  <c r="M97" i="87"/>
  <c r="K97" i="87"/>
  <c r="J97" i="87"/>
  <c r="D97" i="87"/>
  <c r="B97" i="87"/>
  <c r="M96" i="87"/>
  <c r="N96" i="87" s="1"/>
  <c r="K96" i="87"/>
  <c r="J96" i="87" s="1"/>
  <c r="D96" i="87"/>
  <c r="N95" i="87"/>
  <c r="M95" i="87"/>
  <c r="K95" i="87"/>
  <c r="J95" i="87"/>
  <c r="D95" i="87"/>
  <c r="B95" i="87"/>
  <c r="N94" i="87"/>
  <c r="M94" i="87"/>
  <c r="K94" i="87"/>
  <c r="J94" i="87"/>
  <c r="D94" i="87"/>
  <c r="B94" i="87"/>
  <c r="M93" i="87"/>
  <c r="N93" i="87" s="1"/>
  <c r="K93" i="87"/>
  <c r="J93" i="87" s="1"/>
  <c r="F93" i="87"/>
  <c r="D93" i="87"/>
  <c r="N90" i="87"/>
  <c r="M90" i="87"/>
  <c r="K90" i="87"/>
  <c r="J90" i="87" s="1"/>
  <c r="H90" i="87"/>
  <c r="D90" i="87"/>
  <c r="B90" i="87"/>
  <c r="M89" i="87"/>
  <c r="N89" i="87" s="1"/>
  <c r="K89" i="87"/>
  <c r="J89" i="87" s="1"/>
  <c r="D89" i="87"/>
  <c r="N88" i="87"/>
  <c r="M88" i="87"/>
  <c r="K88" i="87"/>
  <c r="J88" i="87"/>
  <c r="D88" i="87"/>
  <c r="B88" i="87"/>
  <c r="N87" i="87"/>
  <c r="M87" i="87"/>
  <c r="K87" i="87"/>
  <c r="J87" i="87" s="1"/>
  <c r="H87" i="87"/>
  <c r="D87" i="87"/>
  <c r="B87" i="87"/>
  <c r="M86" i="87"/>
  <c r="N86" i="87" s="1"/>
  <c r="K86" i="87"/>
  <c r="J86" i="87" s="1"/>
  <c r="D86" i="87"/>
  <c r="B86" i="87"/>
  <c r="N85" i="87"/>
  <c r="M85" i="87"/>
  <c r="K85" i="87"/>
  <c r="J85" i="87" s="1"/>
  <c r="D85" i="87"/>
  <c r="B85" i="87"/>
  <c r="N84" i="87"/>
  <c r="M84" i="87"/>
  <c r="K84" i="87"/>
  <c r="J84" i="87"/>
  <c r="D84" i="87"/>
  <c r="B84" i="87"/>
  <c r="N83" i="87"/>
  <c r="M83" i="87"/>
  <c r="K83" i="87"/>
  <c r="J83" i="87" s="1"/>
  <c r="H83" i="87"/>
  <c r="F83" i="87"/>
  <c r="H88" i="87" s="1"/>
  <c r="D83" i="87"/>
  <c r="B83" i="87"/>
  <c r="N80" i="87"/>
  <c r="M80" i="87"/>
  <c r="K80" i="87"/>
  <c r="N79" i="87"/>
  <c r="M79" i="87"/>
  <c r="K79" i="87"/>
  <c r="J79" i="87"/>
  <c r="D79" i="87"/>
  <c r="B79" i="87"/>
  <c r="M78" i="87"/>
  <c r="N78" i="87" s="1"/>
  <c r="K78" i="87"/>
  <c r="J78" i="87" s="1"/>
  <c r="D78" i="87"/>
  <c r="N77" i="87"/>
  <c r="M77" i="87"/>
  <c r="K77" i="87"/>
  <c r="J77" i="87"/>
  <c r="D77" i="87" s="1"/>
  <c r="B77" i="87"/>
  <c r="N76" i="87"/>
  <c r="M76" i="87"/>
  <c r="K76" i="87"/>
  <c r="J76" i="87" s="1"/>
  <c r="D76" i="87"/>
  <c r="B76" i="87"/>
  <c r="M75" i="87"/>
  <c r="N75" i="87" s="1"/>
  <c r="K75" i="87"/>
  <c r="J75" i="87" s="1"/>
  <c r="B75" i="87"/>
  <c r="N74" i="87"/>
  <c r="M74" i="87"/>
  <c r="K74" i="87"/>
  <c r="B74" i="87"/>
  <c r="N73" i="87"/>
  <c r="M73" i="87"/>
  <c r="K73" i="87"/>
  <c r="J73" i="87"/>
  <c r="D73" i="87"/>
  <c r="B73" i="87"/>
  <c r="N72" i="87"/>
  <c r="M72" i="87"/>
  <c r="K72" i="87"/>
  <c r="J72" i="87" s="1"/>
  <c r="D72" i="87"/>
  <c r="B72" i="87"/>
  <c r="M69" i="87"/>
  <c r="N69" i="87" s="1"/>
  <c r="K69" i="87"/>
  <c r="J69" i="87" s="1"/>
  <c r="D69" i="87"/>
  <c r="B69" i="87"/>
  <c r="M68" i="87"/>
  <c r="N68" i="87" s="1"/>
  <c r="K68" i="87"/>
  <c r="J68" i="87"/>
  <c r="D68" i="87"/>
  <c r="B68" i="87"/>
  <c r="N67" i="87"/>
  <c r="M67" i="87"/>
  <c r="K67" i="87"/>
  <c r="J67" i="87"/>
  <c r="H67" i="87"/>
  <c r="D67" i="87"/>
  <c r="B67" i="87"/>
  <c r="M66" i="87"/>
  <c r="N66" i="87" s="1"/>
  <c r="K66" i="87"/>
  <c r="J66" i="87"/>
  <c r="D66" i="87"/>
  <c r="M65" i="87"/>
  <c r="N65" i="87" s="1"/>
  <c r="K65" i="87"/>
  <c r="J65" i="87"/>
  <c r="D65" i="87"/>
  <c r="B65" i="87"/>
  <c r="N64" i="87"/>
  <c r="M64" i="87"/>
  <c r="K64" i="87"/>
  <c r="J64" i="87" s="1"/>
  <c r="H64" i="87"/>
  <c r="D64" i="87"/>
  <c r="N63" i="87"/>
  <c r="M63" i="87"/>
  <c r="K63" i="87"/>
  <c r="J63" i="87" s="1"/>
  <c r="D63" i="87"/>
  <c r="B63" i="87"/>
  <c r="M62" i="87"/>
  <c r="N62" i="87" s="1"/>
  <c r="K62" i="87"/>
  <c r="J62" i="87"/>
  <c r="D62" i="87"/>
  <c r="B62" i="87"/>
  <c r="N61" i="87"/>
  <c r="M61" i="87"/>
  <c r="K61" i="87"/>
  <c r="J61" i="87" s="1"/>
  <c r="H61" i="87"/>
  <c r="F61" i="87"/>
  <c r="H68" i="87" s="1"/>
  <c r="D61" i="87"/>
  <c r="E61" i="87" s="1"/>
  <c r="B59" i="87" s="1"/>
  <c r="B61" i="87"/>
  <c r="M58" i="87"/>
  <c r="N58" i="87" s="1"/>
  <c r="K58" i="87"/>
  <c r="J58" i="87" s="1"/>
  <c r="D58" i="87"/>
  <c r="B58" i="87"/>
  <c r="M57" i="87"/>
  <c r="N57" i="87" s="1"/>
  <c r="K57" i="87"/>
  <c r="J57" i="87"/>
  <c r="D57" i="87"/>
  <c r="B57" i="87"/>
  <c r="N56" i="87"/>
  <c r="M56" i="87"/>
  <c r="K56" i="87"/>
  <c r="J56" i="87"/>
  <c r="H56" i="87"/>
  <c r="D56" i="87"/>
  <c r="B56" i="87"/>
  <c r="M55" i="87"/>
  <c r="N55" i="87" s="1"/>
  <c r="K55" i="87"/>
  <c r="J55" i="87"/>
  <c r="H55" i="87"/>
  <c r="D55" i="87"/>
  <c r="M54" i="87"/>
  <c r="N54" i="87" s="1"/>
  <c r="K54" i="87"/>
  <c r="J54" i="87"/>
  <c r="D54" i="87"/>
  <c r="B54" i="87"/>
  <c r="N53" i="87"/>
  <c r="M53" i="87"/>
  <c r="K53" i="87"/>
  <c r="J53" i="87" s="1"/>
  <c r="H53" i="87"/>
  <c r="D53" i="87"/>
  <c r="N52" i="87"/>
  <c r="M52" i="87"/>
  <c r="K52" i="87"/>
  <c r="J52" i="87" s="1"/>
  <c r="H52" i="87"/>
  <c r="D52" i="87"/>
  <c r="B52" i="87"/>
  <c r="M51" i="87"/>
  <c r="N51" i="87" s="1"/>
  <c r="K51" i="87"/>
  <c r="J51" i="87"/>
  <c r="D51" i="87"/>
  <c r="B51" i="87"/>
  <c r="N50" i="87"/>
  <c r="M50" i="87"/>
  <c r="K50" i="87"/>
  <c r="J50" i="87" s="1"/>
  <c r="H50" i="87"/>
  <c r="F50" i="87"/>
  <c r="H57" i="87" s="1"/>
  <c r="D50" i="87"/>
  <c r="B50" i="87"/>
  <c r="E44" i="87"/>
  <c r="C44" i="87"/>
  <c r="H41" i="87"/>
  <c r="H40" i="87"/>
  <c r="H39" i="87"/>
  <c r="H38" i="87"/>
  <c r="H37" i="87"/>
  <c r="O32" i="87"/>
  <c r="N32" i="87"/>
  <c r="P29" i="87"/>
  <c r="P25" i="87"/>
  <c r="J24" i="87"/>
  <c r="I24" i="87"/>
  <c r="C24" i="87" s="1"/>
  <c r="G24" i="87"/>
  <c r="E24" i="87"/>
  <c r="Q32" i="87" s="1"/>
  <c r="O23" i="87"/>
  <c r="M23" i="87"/>
  <c r="I23" i="87"/>
  <c r="G23" i="87"/>
  <c r="P28" i="87" s="1"/>
  <c r="C23" i="87"/>
  <c r="C22" i="87"/>
  <c r="C20" i="87"/>
  <c r="I18" i="87"/>
  <c r="G18" i="87"/>
  <c r="E17" i="87" s="1"/>
  <c r="G17" i="87"/>
  <c r="C17" i="87"/>
  <c r="C13" i="87"/>
  <c r="AJ10" i="87"/>
  <c r="AI10" i="87"/>
  <c r="AF10" i="87"/>
  <c r="AE10" i="87"/>
  <c r="AB10" i="87"/>
  <c r="AA10" i="87"/>
  <c r="Y10" i="87"/>
  <c r="C10" i="87"/>
  <c r="C11" i="87" s="1"/>
  <c r="E9" i="87" s="1"/>
  <c r="AJ9" i="87"/>
  <c r="AI9" i="87"/>
  <c r="AH9" i="87"/>
  <c r="AH10" i="87" s="1"/>
  <c r="AG9" i="87"/>
  <c r="AG10" i="87" s="1"/>
  <c r="AF9" i="87"/>
  <c r="AE9" i="87"/>
  <c r="AD9" i="87"/>
  <c r="AD10" i="87" s="1"/>
  <c r="AC9" i="87"/>
  <c r="AC10" i="87" s="1"/>
  <c r="AB9" i="87"/>
  <c r="AA9" i="87"/>
  <c r="Z9" i="87"/>
  <c r="Z10" i="87" s="1"/>
  <c r="C9" i="87"/>
  <c r="M5" i="87"/>
  <c r="N3" i="87"/>
  <c r="G3" i="87"/>
  <c r="Z7" i="87" s="1"/>
  <c r="I2" i="87"/>
  <c r="M12" i="87" s="1"/>
  <c r="G2" i="87"/>
  <c r="D3" i="31"/>
  <c r="D4" i="31"/>
  <c r="C4" i="31"/>
  <c r="C3" i="31"/>
  <c r="B26" i="31"/>
  <c r="B27" i="31"/>
  <c r="B28" i="31"/>
  <c r="B29" i="31"/>
  <c r="B30" i="31"/>
  <c r="B31" i="31"/>
  <c r="B32" i="31"/>
  <c r="B33" i="31"/>
  <c r="B34" i="31"/>
  <c r="B35" i="31"/>
  <c r="B36" i="31"/>
  <c r="B37" i="31"/>
  <c r="B38" i="31"/>
  <c r="B39" i="31"/>
  <c r="B40" i="31"/>
  <c r="B41" i="31"/>
  <c r="B42" i="31"/>
  <c r="B43" i="31"/>
  <c r="B44" i="31"/>
  <c r="B45"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5" i="31"/>
  <c r="C13" i="3"/>
  <c r="A120" i="85"/>
  <c r="E111" i="85"/>
  <c r="H112"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D17" i="85"/>
  <c r="C17" i="85"/>
  <c r="L4" i="85"/>
  <c r="K4" i="85"/>
  <c r="H1" i="85"/>
  <c r="J49" i="67"/>
  <c r="I29" i="35"/>
  <c r="G29" i="35"/>
  <c r="E29" i="35"/>
  <c r="C29" i="35"/>
  <c r="I7" i="1"/>
  <c r="H7" i="1"/>
  <c r="J7" i="1"/>
  <c r="L7" i="1"/>
  <c r="U7" i="1"/>
  <c r="Y7" i="1"/>
  <c r="T6" i="84"/>
  <c r="T5" i="84"/>
  <c r="T4" i="84"/>
  <c r="D104" i="21"/>
  <c r="I37" i="21"/>
  <c r="G37" i="21"/>
  <c r="E37" i="21"/>
  <c r="C37" i="21"/>
  <c r="N7" i="1"/>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J49" i="15"/>
  <c r="B59" i="1"/>
  <c r="B21" i="1"/>
  <c r="Y6" i="1"/>
  <c r="N6" i="1"/>
  <c r="N18" i="1"/>
  <c r="K14" i="3"/>
  <c r="I13" i="3"/>
  <c r="F10" i="80"/>
  <c r="G14" i="73"/>
  <c r="F14" i="73"/>
  <c r="E14" i="73"/>
  <c r="D9" i="88"/>
  <c r="E2" i="88"/>
  <c r="C76" i="83"/>
  <c r="C9" i="88" l="1"/>
  <c r="C21" i="88"/>
  <c r="C40" i="88"/>
  <c r="H116" i="87"/>
  <c r="F41" i="87"/>
  <c r="F39" i="87"/>
  <c r="L21" i="87"/>
  <c r="H21" i="87"/>
  <c r="C21" i="87"/>
  <c r="O21" i="87"/>
  <c r="K21" i="87"/>
  <c r="S5" i="87"/>
  <c r="S3" i="87"/>
  <c r="E21" i="87"/>
  <c r="F42" i="87"/>
  <c r="F40" i="87"/>
  <c r="F38" i="87"/>
  <c r="F37" i="87"/>
  <c r="N21" i="87"/>
  <c r="J21" i="87"/>
  <c r="S4" i="87"/>
  <c r="N5" i="87"/>
  <c r="M7" i="87"/>
  <c r="C6" i="87" s="1"/>
  <c r="E10" i="87"/>
  <c r="D21" i="87"/>
  <c r="E83" i="87"/>
  <c r="B81" i="87" s="1"/>
  <c r="E93" i="87"/>
  <c r="B91" i="87" s="1"/>
  <c r="X7" i="87"/>
  <c r="N10" i="87"/>
  <c r="M10" i="87"/>
  <c r="N9" i="87"/>
  <c r="M6" i="87"/>
  <c r="N4" i="87"/>
  <c r="N2" i="87"/>
  <c r="N6" i="87"/>
  <c r="M1" i="87"/>
  <c r="M2" i="87"/>
  <c r="F26" i="87"/>
  <c r="J26" i="87"/>
  <c r="E26" i="87"/>
  <c r="H26" i="87"/>
  <c r="S6" i="87"/>
  <c r="N7" i="87"/>
  <c r="F72" i="87" s="1"/>
  <c r="M8" i="87"/>
  <c r="N12" i="87"/>
  <c r="I21" i="87"/>
  <c r="N1" i="87"/>
  <c r="S2" i="87"/>
  <c r="M3" i="87"/>
  <c r="M4" i="87"/>
  <c r="N8" i="87"/>
  <c r="M9" i="87"/>
  <c r="M11" i="87"/>
  <c r="M21" i="87"/>
  <c r="G26" i="87"/>
  <c r="H101" i="87"/>
  <c r="H95" i="87"/>
  <c r="H98" i="87"/>
  <c r="H99" i="87"/>
  <c r="H96" i="87"/>
  <c r="H93" i="87"/>
  <c r="H100" i="87"/>
  <c r="E11" i="87"/>
  <c r="E8" i="87"/>
  <c r="C7" i="87" s="1"/>
  <c r="N11" i="87"/>
  <c r="C27" i="87"/>
  <c r="E50" i="87"/>
  <c r="B48" i="87" s="1"/>
  <c r="J74" i="87"/>
  <c r="D74" i="87"/>
  <c r="D75" i="87"/>
  <c r="J80" i="87"/>
  <c r="D80" i="87"/>
  <c r="E72" i="87" s="1"/>
  <c r="B70" i="87" s="1"/>
  <c r="C28" i="87" s="1"/>
  <c r="H94" i="87"/>
  <c r="H97" i="87"/>
  <c r="B116" i="87"/>
  <c r="P27" i="87"/>
  <c r="H66" i="87"/>
  <c r="H86" i="87"/>
  <c r="H89" i="87"/>
  <c r="M24" i="87"/>
  <c r="P32" i="87"/>
  <c r="H58" i="87"/>
  <c r="H63" i="87"/>
  <c r="H69" i="87"/>
  <c r="H85" i="87"/>
  <c r="P26" i="87"/>
  <c r="M32" i="87"/>
  <c r="H51" i="87"/>
  <c r="H54" i="87"/>
  <c r="H62" i="87"/>
  <c r="H65" i="87"/>
  <c r="H84" i="87"/>
  <c r="C18" i="85"/>
  <c r="D18" i="85" s="1"/>
  <c r="C92" i="85"/>
  <c r="C94" i="85"/>
  <c r="D121" i="85"/>
  <c r="K120" i="85"/>
  <c r="H111" i="85"/>
  <c r="D126" i="85" s="1"/>
  <c r="D127" i="85" s="1"/>
  <c r="A126" i="85"/>
  <c r="H109" i="85"/>
  <c r="Q71" i="83"/>
  <c r="D24" i="83"/>
  <c r="P61" i="83"/>
  <c r="D22" i="83"/>
  <c r="I12" i="79"/>
  <c r="F37" i="83"/>
  <c r="F7" i="83"/>
  <c r="M6" i="83"/>
  <c r="F9" i="83"/>
  <c r="M8" i="83"/>
  <c r="M26" i="83"/>
  <c r="L47" i="83"/>
  <c r="F26" i="83"/>
  <c r="F40" i="83"/>
  <c r="C36" i="88"/>
  <c r="J15" i="83"/>
  <c r="M28" i="83"/>
  <c r="F38" i="83"/>
  <c r="F13" i="83"/>
  <c r="M22" i="83"/>
  <c r="F36" i="83"/>
  <c r="F27" i="88"/>
  <c r="F42" i="83"/>
  <c r="L48" i="83"/>
  <c r="M24" i="83"/>
  <c r="M9" i="83"/>
  <c r="F8" i="83"/>
  <c r="F16" i="83"/>
  <c r="M23" i="83"/>
  <c r="M27" i="83"/>
  <c r="F6" i="83"/>
  <c r="F45" i="88" l="1"/>
  <c r="C29" i="88"/>
  <c r="D27" i="88" s="1"/>
  <c r="C47" i="88"/>
  <c r="D45" i="88" s="1"/>
  <c r="H77" i="87"/>
  <c r="H73" i="87"/>
  <c r="H80" i="87"/>
  <c r="H74" i="87"/>
  <c r="H78" i="87"/>
  <c r="H75" i="87"/>
  <c r="H79" i="87"/>
  <c r="H76" i="87"/>
  <c r="H72"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D26" i="87"/>
  <c r="C25" i="87" s="1"/>
  <c r="G21" i="87"/>
  <c r="D124" i="85"/>
  <c r="D125" i="85" s="1"/>
  <c r="H110" i="85"/>
  <c r="I54" i="83"/>
  <c r="F68" i="83"/>
  <c r="F51" i="83"/>
  <c r="N59" i="83"/>
  <c r="L58" i="83"/>
  <c r="M59" i="83"/>
  <c r="L59" i="83"/>
  <c r="F64" i="83"/>
  <c r="F66" i="83"/>
  <c r="C27" i="83"/>
  <c r="L60" i="83"/>
  <c r="J57" i="83"/>
  <c r="J55" i="83" s="1"/>
  <c r="J58" i="83" s="1"/>
  <c r="Q50" i="83" s="1"/>
  <c r="J53" i="83"/>
  <c r="M7" i="83"/>
  <c r="J6" i="83" s="1"/>
  <c r="F50" i="83"/>
  <c r="C6" i="83"/>
  <c r="F65"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D116" i="87" l="1"/>
  <c r="C42" i="87"/>
  <c r="C40" i="87"/>
  <c r="C38" i="87"/>
  <c r="C37" i="87"/>
  <c r="C41" i="87"/>
  <c r="C39" i="87"/>
  <c r="T16" i="87"/>
  <c r="V16" i="87" s="1"/>
  <c r="T14" i="87"/>
  <c r="V14" i="87" s="1"/>
  <c r="T9" i="87"/>
  <c r="V9" i="87" s="1"/>
  <c r="T12" i="87"/>
  <c r="V12" i="87" s="1"/>
  <c r="T11" i="87"/>
  <c r="V11" i="87" s="1"/>
  <c r="T7" i="87"/>
  <c r="V7" i="87" s="1"/>
  <c r="C33" i="87"/>
  <c r="T13" i="87"/>
  <c r="V13" i="87" s="1"/>
  <c r="T6" i="87"/>
  <c r="V6" i="87" s="1"/>
  <c r="T15" i="87"/>
  <c r="V15" i="87" s="1"/>
  <c r="T10" i="87"/>
  <c r="V10" i="87" s="1"/>
  <c r="T5" i="87"/>
  <c r="V5" i="87" s="1"/>
  <c r="T4" i="87"/>
  <c r="V4" i="87" s="1"/>
  <c r="T3" i="87"/>
  <c r="V3" i="87" s="1"/>
  <c r="T8" i="87"/>
  <c r="V8" i="87" s="1"/>
  <c r="T2" i="87"/>
  <c r="V2" i="87" s="1"/>
  <c r="J19" i="83"/>
  <c r="J18" i="83"/>
  <c r="Q61" i="83"/>
  <c r="Q74" i="83"/>
  <c r="C49" i="83"/>
  <c r="F1" i="83"/>
  <c r="Q52" i="83"/>
  <c r="Q57" i="83"/>
  <c r="Q66" i="83"/>
  <c r="C33" i="83"/>
  <c r="C32" i="83"/>
  <c r="L56" i="83"/>
  <c r="Q73" i="83"/>
  <c r="Q60" i="83"/>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37" i="87" l="1"/>
  <c r="I37" i="87" s="1"/>
  <c r="E37" i="87"/>
  <c r="G38" i="87"/>
  <c r="I38" i="87" s="1"/>
  <c r="E38" i="87"/>
  <c r="E39" i="87"/>
  <c r="G39" i="87"/>
  <c r="I39" i="87" s="1"/>
  <c r="G40" i="87"/>
  <c r="I40" i="87" s="1"/>
  <c r="E40" i="87"/>
  <c r="C34" i="87"/>
  <c r="E34" i="87" s="1"/>
  <c r="E33" i="87"/>
  <c r="E41" i="87"/>
  <c r="G41" i="87"/>
  <c r="I41" i="87" s="1"/>
  <c r="G42" i="87"/>
  <c r="C61" i="83"/>
  <c r="AD33" i="79"/>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Z3" i="79"/>
  <c r="AA31" i="79"/>
  <c r="AD31" i="79" s="1"/>
  <c r="AR18" i="79"/>
  <c r="AR19" i="79" s="1"/>
  <c r="AR20" i="79" s="1"/>
  <c r="AR21" i="79" s="1"/>
  <c r="AR22" i="79" s="1"/>
  <c r="AR23" i="79" s="1"/>
  <c r="AR24" i="79" s="1"/>
  <c r="T33" i="79"/>
  <c r="T34" i="79"/>
  <c r="T35" i="79"/>
  <c r="W22" i="79"/>
  <c r="AK22" i="79" s="1"/>
  <c r="AH22" i="79"/>
  <c r="S35" i="79"/>
  <c r="AG35" i="79" s="1"/>
  <c r="S34" i="79"/>
  <c r="AG34" i="79" s="1"/>
  <c r="S33" i="79"/>
  <c r="AG33"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8" i="79"/>
  <c r="AK18" i="79" s="1"/>
  <c r="AH18" i="79"/>
  <c r="W20" i="79"/>
  <c r="AK20" i="79" s="1"/>
  <c r="AH20" i="79"/>
  <c r="W35" i="79"/>
  <c r="AK35" i="79" s="1"/>
  <c r="AH35" i="79"/>
  <c r="W15" i="79"/>
  <c r="AK15" i="79" s="1"/>
  <c r="AH15" i="79"/>
  <c r="W13" i="79"/>
  <c r="AK13" i="79" s="1"/>
  <c r="AH13" i="79"/>
  <c r="W48" i="79"/>
  <c r="AK48" i="79" s="1"/>
  <c r="AH48" i="79"/>
  <c r="W49" i="79"/>
  <c r="AK49" i="79" s="1"/>
  <c r="AH49" i="79"/>
  <c r="W43" i="79"/>
  <c r="AK43" i="79" s="1"/>
  <c r="AH43" i="79"/>
  <c r="W38" i="79"/>
  <c r="AK38" i="79" s="1"/>
  <c r="AH38" i="79"/>
  <c r="W40" i="79"/>
  <c r="AK40" i="79" s="1"/>
  <c r="AH40" i="79"/>
  <c r="W33" i="79"/>
  <c r="AK33" i="79" s="1"/>
  <c r="AH33"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A28" i="71"/>
  <c r="N66" i="71"/>
  <c r="C60" i="71"/>
  <c r="D59" i="71"/>
  <c r="P67" i="71"/>
  <c r="E66"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A4" i="52" s="1"/>
  <c r="B4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3" i="31"/>
  <c r="R104" i="31"/>
  <c r="R105" i="31"/>
  <c r="R106" i="31"/>
  <c r="S106" i="31" s="1"/>
  <c r="R107" i="31"/>
  <c r="S107" i="31" s="1"/>
  <c r="R108" i="31"/>
  <c r="S108" i="31" s="1"/>
  <c r="R109" i="31"/>
  <c r="R110" i="31"/>
  <c r="S110" i="31" s="1"/>
  <c r="R111" i="31"/>
  <c r="S111" i="31" s="1"/>
  <c r="R112" i="31"/>
  <c r="S112" i="31" s="1"/>
  <c r="R113" i="31"/>
  <c r="R114" i="31"/>
  <c r="S114" i="31" s="1"/>
  <c r="R115" i="31"/>
  <c r="S115" i="31" s="1"/>
  <c r="R116" i="3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R133" i="31"/>
  <c r="R134" i="31"/>
  <c r="S134" i="31" s="1"/>
  <c r="R135" i="31"/>
  <c r="S135" i="31" s="1"/>
  <c r="R136" i="31"/>
  <c r="S136" i="31" s="1"/>
  <c r="R137" i="31"/>
  <c r="R138" i="31"/>
  <c r="S138" i="31" s="1"/>
  <c r="R139" i="31"/>
  <c r="S139" i="31" s="1"/>
  <c r="R140" i="31"/>
  <c r="R141" i="31"/>
  <c r="R142" i="31"/>
  <c r="S142" i="31" s="1"/>
  <c r="R143" i="31"/>
  <c r="S143" i="31" s="1"/>
  <c r="R144" i="31"/>
  <c r="S144" i="31" s="1"/>
  <c r="R145" i="31"/>
  <c r="R146" i="31"/>
  <c r="S146" i="31" s="1"/>
  <c r="R147" i="3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R169" i="31"/>
  <c r="R170" i="31"/>
  <c r="S170" i="31" s="1"/>
  <c r="R171" i="31"/>
  <c r="S171" i="31" s="1"/>
  <c r="R172" i="31"/>
  <c r="S172" i="31" s="1"/>
  <c r="R173" i="31"/>
  <c r="R174" i="31"/>
  <c r="S174" i="31" s="1"/>
  <c r="R175" i="31"/>
  <c r="S175" i="31" s="1"/>
  <c r="R176" i="31"/>
  <c r="R177" i="31"/>
  <c r="R178" i="31"/>
  <c r="S178" i="31" s="1"/>
  <c r="R179" i="3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R197" i="31"/>
  <c r="R198" i="31"/>
  <c r="S198" i="31" s="1"/>
  <c r="R199" i="31"/>
  <c r="S199" i="31" s="1"/>
  <c r="R200" i="31"/>
  <c r="S200" i="31" s="1"/>
  <c r="R201" i="31"/>
  <c r="R202" i="31"/>
  <c r="S202" i="31" s="1"/>
  <c r="R203" i="31"/>
  <c r="S203" i="31" s="1"/>
  <c r="R204" i="31"/>
  <c r="R205" i="31"/>
  <c r="R206" i="31"/>
  <c r="S206" i="31" s="1"/>
  <c r="R207" i="31"/>
  <c r="S207" i="31" s="1"/>
  <c r="R208" i="31"/>
  <c r="S208" i="31" s="1"/>
  <c r="R209" i="31"/>
  <c r="R210" i="31"/>
  <c r="S210" i="31" s="1"/>
  <c r="R211" i="3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R227" i="31"/>
  <c r="S227" i="31" s="1"/>
  <c r="R228" i="31"/>
  <c r="S228" i="31" s="1"/>
  <c r="R229" i="31"/>
  <c r="R230" i="31"/>
  <c r="R231" i="31"/>
  <c r="S231" i="31" s="1"/>
  <c r="R232" i="3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R249" i="31"/>
  <c r="R250" i="3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R429" i="31"/>
  <c r="R430" i="31"/>
  <c r="S430" i="31" s="1"/>
  <c r="R431" i="31"/>
  <c r="S431" i="31" s="1"/>
  <c r="R432" i="3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R460" i="31"/>
  <c r="R461" i="31"/>
  <c r="R462" i="31"/>
  <c r="S462" i="31" s="1"/>
  <c r="R463" i="31"/>
  <c r="S463" i="31" s="1"/>
  <c r="R464" i="31"/>
  <c r="S464" i="31" s="1"/>
  <c r="R465" i="31"/>
  <c r="R466" i="31"/>
  <c r="S466" i="31" s="1"/>
  <c r="R467" i="31"/>
  <c r="S467" i="31" s="1"/>
  <c r="R468" i="3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R485" i="31"/>
  <c r="R486" i="31"/>
  <c r="R487" i="31"/>
  <c r="S487" i="31" s="1"/>
  <c r="R488" i="31"/>
  <c r="S488" i="31" s="1"/>
  <c r="R489" i="31"/>
  <c r="R490" i="31"/>
  <c r="R491" i="31"/>
  <c r="S491" i="31" s="1"/>
  <c r="R492" i="31"/>
  <c r="S492" i="31" s="1"/>
  <c r="R493" i="31"/>
  <c r="R494" i="31"/>
  <c r="R495" i="31"/>
  <c r="S495" i="31" s="1"/>
  <c r="R496" i="31"/>
  <c r="S496" i="31" s="1"/>
  <c r="R497" i="31"/>
  <c r="R498" i="31"/>
  <c r="S498" i="31" s="1"/>
  <c r="R499" i="31"/>
  <c r="S499" i="31" s="1"/>
  <c r="R500" i="31"/>
  <c r="R501" i="31"/>
  <c r="R502" i="31"/>
  <c r="S502" i="31" s="1"/>
  <c r="R503" i="31"/>
  <c r="S503" i="31" s="1"/>
  <c r="R504" i="31"/>
  <c r="S504" i="31" s="1"/>
  <c r="R505" i="31"/>
  <c r="R506" i="31"/>
  <c r="S506" i="31" s="1"/>
  <c r="R507" i="31"/>
  <c r="S507" i="31" s="1"/>
  <c r="R508" i="3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C46" i="31"/>
  <c r="C7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G20" i="6" s="1"/>
  <c r="E20" i="6"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4" i="31"/>
  <c r="S388" i="31"/>
  <c r="S372" i="31"/>
  <c r="S356" i="31"/>
  <c r="S340" i="31"/>
  <c r="S324" i="31"/>
  <c r="S318" i="31"/>
  <c r="S316" i="31"/>
  <c r="S310" i="31"/>
  <c r="S304" i="31"/>
  <c r="S302" i="31"/>
  <c r="S294" i="31"/>
  <c r="S286" i="31"/>
  <c r="S284" i="31"/>
  <c r="S278" i="31"/>
  <c r="S272" i="31"/>
  <c r="S270" i="31"/>
  <c r="S262" i="31"/>
  <c r="S254" i="31"/>
  <c r="S253" i="31"/>
  <c r="S250" i="31"/>
  <c r="S249" i="31"/>
  <c r="S248" i="31"/>
  <c r="S246" i="31"/>
  <c r="S245" i="31"/>
  <c r="S242" i="31"/>
  <c r="S241" i="31"/>
  <c r="S238" i="31"/>
  <c r="S237" i="31"/>
  <c r="S234" i="31"/>
  <c r="S233" i="31"/>
  <c r="S232" i="31"/>
  <c r="S230" i="31"/>
  <c r="S229" i="31"/>
  <c r="S226" i="31"/>
  <c r="S225" i="31"/>
  <c r="S429" i="31"/>
  <c r="S428" i="31"/>
  <c r="S425" i="31"/>
  <c r="S221" i="31"/>
  <c r="S217" i="31"/>
  <c r="S213" i="31"/>
  <c r="S211" i="31"/>
  <c r="S209" i="31"/>
  <c r="S205" i="31"/>
  <c r="S204" i="31"/>
  <c r="S201" i="31"/>
  <c r="S197" i="31"/>
  <c r="S196" i="31"/>
  <c r="S193" i="31"/>
  <c r="S189" i="31"/>
  <c r="S185" i="31"/>
  <c r="S181" i="31"/>
  <c r="S179" i="31"/>
  <c r="S177" i="31"/>
  <c r="S176" i="31"/>
  <c r="S173" i="31"/>
  <c r="S169" i="31"/>
  <c r="S168" i="31"/>
  <c r="S165" i="31"/>
  <c r="S161" i="31"/>
  <c r="S157" i="31"/>
  <c r="S153" i="31"/>
  <c r="S149" i="31"/>
  <c r="S147" i="31"/>
  <c r="S145" i="31"/>
  <c r="S141" i="31"/>
  <c r="S140" i="31"/>
  <c r="S137" i="31"/>
  <c r="S133" i="31"/>
  <c r="S132" i="31"/>
  <c r="S129" i="31"/>
  <c r="S125" i="31"/>
  <c r="S497" i="31"/>
  <c r="S494" i="31"/>
  <c r="S493" i="31"/>
  <c r="S490" i="31"/>
  <c r="S489" i="31"/>
  <c r="S486" i="31"/>
  <c r="S485" i="31"/>
  <c r="S484" i="31"/>
  <c r="S482" i="31"/>
  <c r="S481" i="31"/>
  <c r="S478" i="31"/>
  <c r="S477" i="31"/>
  <c r="S474" i="31"/>
  <c r="S473" i="31"/>
  <c r="S470" i="31"/>
  <c r="S469" i="31"/>
  <c r="S468" i="31"/>
  <c r="S441" i="31"/>
  <c r="S437" i="31"/>
  <c r="S433" i="31"/>
  <c r="S432" i="31"/>
  <c r="S121" i="31"/>
  <c r="S117" i="31"/>
  <c r="S116" i="31"/>
  <c r="S113" i="31"/>
  <c r="S500" i="31"/>
  <c r="S465" i="31"/>
  <c r="S461" i="31"/>
  <c r="S460" i="31"/>
  <c r="S459" i="31"/>
  <c r="S457" i="31"/>
  <c r="S453" i="31"/>
  <c r="S103" i="31"/>
  <c r="S104" i="31"/>
  <c r="S105" i="31"/>
  <c r="S109" i="31"/>
  <c r="S445"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7" i="31"/>
  <c r="S518" i="31"/>
  <c r="S521" i="31"/>
  <c r="S522"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B94" i="21"/>
  <c r="J29" i="21" s="1"/>
  <c r="AC29" i="21"/>
  <c r="B92" i="21"/>
  <c r="J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W22" i="35"/>
  <c r="U34" i="35"/>
  <c r="F36" i="34"/>
  <c r="J35" i="34"/>
  <c r="U34" i="34"/>
  <c r="H39" i="33"/>
  <c r="AB39" i="33" s="1"/>
  <c r="F26" i="33"/>
  <c r="AA26" i="33"/>
  <c r="U33" i="33"/>
  <c r="U35" i="33"/>
  <c r="S40" i="33"/>
  <c r="W33" i="33"/>
  <c r="W39" i="33"/>
  <c r="H39" i="37"/>
  <c r="AB39" i="37"/>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J10" i="35"/>
  <c r="AC10" i="35" s="1"/>
  <c r="J14" i="21"/>
  <c r="W14" i="21"/>
  <c r="F14" i="21"/>
  <c r="S14" i="21" s="1"/>
  <c r="H14" i="21"/>
  <c r="U14" i="21" s="1"/>
  <c r="H28" i="21"/>
  <c r="AB28" i="21" s="1"/>
  <c r="F28" i="21"/>
  <c r="AA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AZ160" i="3" s="1"/>
  <c r="G161" i="3"/>
  <c r="BA163" i="3"/>
  <c r="AZ163" i="3"/>
  <c r="BL164" i="3"/>
  <c r="AZ164" i="3" s="1"/>
  <c r="G165" i="3"/>
  <c r="BA167" i="3"/>
  <c r="BL168" i="3"/>
  <c r="G169" i="3"/>
  <c r="BA171" i="3"/>
  <c r="BL172" i="3"/>
  <c r="G173" i="3"/>
  <c r="BA175" i="3"/>
  <c r="AZ175" i="3"/>
  <c r="BL176" i="3"/>
  <c r="G177" i="3"/>
  <c r="BA179" i="3"/>
  <c r="BL180" i="3"/>
  <c r="AZ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8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66"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57" i="3"/>
  <c r="AZ265" i="3"/>
  <c r="BA379" i="3"/>
  <c r="AZ379" i="3" s="1"/>
  <c r="BL380" i="3"/>
  <c r="AZ380" i="3" s="1"/>
  <c r="G381" i="3"/>
  <c r="BA383" i="3"/>
  <c r="AZ383" i="3" s="1"/>
  <c r="BL384" i="3"/>
  <c r="G385" i="3"/>
  <c r="BA387" i="3"/>
  <c r="BL388" i="3"/>
  <c r="G389" i="3"/>
  <c r="BA391" i="3"/>
  <c r="AZ391" i="3" s="1"/>
  <c r="BL392" i="3"/>
  <c r="G393" i="3"/>
  <c r="AZ283" i="3"/>
  <c r="BO5" i="3"/>
  <c r="BM5" i="3"/>
  <c r="BJ5" i="3"/>
  <c r="BH5" i="3"/>
  <c r="BF5" i="3"/>
  <c r="BD5" i="3"/>
  <c r="AZ506" i="3"/>
  <c r="G548" i="3"/>
  <c r="G538" i="3"/>
  <c r="G520" i="3"/>
  <c r="G502" i="3"/>
  <c r="BS5" i="3"/>
  <c r="BP5" i="3"/>
  <c r="BN5" i="3"/>
  <c r="BK5" i="3"/>
  <c r="BI5" i="3"/>
  <c r="BG5" i="3"/>
  <c r="BE5" i="3"/>
  <c r="BC5" i="3"/>
  <c r="G17" i="3"/>
  <c r="BA17" i="3"/>
  <c r="BT5" i="3"/>
  <c r="AZ350" i="3"/>
  <c r="AZ356" i="3"/>
  <c r="BA15" i="3"/>
  <c r="AZ15" i="3" s="1"/>
  <c r="BB5" i="3"/>
  <c r="E5" i="6" s="1"/>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48" i="3"/>
  <c r="AZ259" i="3"/>
  <c r="AZ280" i="3"/>
  <c r="AZ74" i="3"/>
  <c r="AZ110" i="3"/>
  <c r="F23" i="39"/>
  <c r="AA23" i="39" s="1"/>
  <c r="H27" i="36"/>
  <c r="U27" i="36" s="1"/>
  <c r="F27" i="36"/>
  <c r="AA27" i="36" s="1"/>
  <c r="H33" i="34"/>
  <c r="U33" i="34" s="1"/>
  <c r="F32" i="37"/>
  <c r="AA32" i="37" s="1"/>
  <c r="F20" i="36"/>
  <c r="AA20" i="36" s="1"/>
  <c r="J33" i="34"/>
  <c r="AC33" i="34" s="1"/>
  <c r="H23" i="39"/>
  <c r="U23" i="39" s="1"/>
  <c r="K9" i="1"/>
  <c r="M9" i="1" s="1"/>
  <c r="D93" i="9"/>
  <c r="AC26" i="33"/>
  <c r="W26" i="33"/>
  <c r="W27" i="34"/>
  <c r="AC27" i="34"/>
  <c r="AB34" i="36"/>
  <c r="U34" i="36"/>
  <c r="AB33" i="36"/>
  <c r="U33" i="36"/>
  <c r="AC12" i="39"/>
  <c r="W12" i="39"/>
  <c r="AC39" i="40"/>
  <c r="W39" i="40"/>
  <c r="AZ412" i="3"/>
  <c r="AZ433" i="3"/>
  <c r="W12" i="33"/>
  <c r="AC12" i="33"/>
  <c r="AA32" i="36"/>
  <c r="S32" i="36"/>
  <c r="AZ437" i="3"/>
  <c r="BL14" i="3"/>
  <c r="AC13" i="34"/>
  <c r="W28" i="37"/>
  <c r="S19" i="39"/>
  <c r="F12" i="33"/>
  <c r="H12" i="39"/>
  <c r="U12" i="39" s="1"/>
  <c r="AB12" i="39"/>
  <c r="F39" i="40"/>
  <c r="BA14" i="3"/>
  <c r="AZ14" i="3" s="1"/>
  <c r="AZ224" i="3"/>
  <c r="AZ250" i="3"/>
  <c r="AZ173" i="3"/>
  <c r="AZ189"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F19" i="6" s="1"/>
  <c r="E19" i="6" s="1"/>
  <c r="BA13" i="3"/>
  <c r="BL17" i="3"/>
  <c r="AZ17" i="3"/>
  <c r="BL13" i="3"/>
  <c r="J56" i="9"/>
  <c r="J57" i="9" s="1"/>
  <c r="J59" i="9" s="1"/>
  <c r="J61" i="9" s="1"/>
  <c r="A24" i="51"/>
  <c r="B18" i="72" s="1"/>
  <c r="U29" i="34"/>
  <c r="G1" i="68"/>
  <c r="K1" i="12"/>
  <c r="E19" i="69"/>
  <c r="E19" i="68"/>
  <c r="E19" i="11"/>
  <c r="G22" i="69"/>
  <c r="C6" i="43"/>
  <c r="B19" i="53"/>
  <c r="B37" i="72" s="1"/>
  <c r="C7" i="33"/>
  <c r="G23" i="43"/>
  <c r="C23"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0" i="69"/>
  <c r="F48" i="69" s="1"/>
  <c r="AA39" i="40"/>
  <c r="S39" i="40"/>
  <c r="S12" i="33"/>
  <c r="AA12" i="33"/>
  <c r="J32" i="39"/>
  <c r="W32" i="39" s="1"/>
  <c r="H32" i="39"/>
  <c r="AB32" i="39" s="1"/>
  <c r="AA32" i="39"/>
  <c r="S32" i="39"/>
  <c r="AB21" i="39"/>
  <c r="U21" i="39"/>
  <c r="AA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AB15" i="21"/>
  <c r="J23" i="21"/>
  <c r="F85" i="21"/>
  <c r="G85" i="21" s="1"/>
  <c r="H23" i="21"/>
  <c r="S13" i="21"/>
  <c r="D6" i="52"/>
  <c r="AP7" i="1"/>
  <c r="AB45" i="21"/>
  <c r="AA32" i="21"/>
  <c r="W9" i="21"/>
  <c r="AC9" i="21"/>
  <c r="AB32" i="21"/>
  <c r="U32" i="21"/>
  <c r="U32" i="39"/>
  <c r="AC32" i="39"/>
  <c r="J11" i="37"/>
  <c r="AC11" i="37" s="1"/>
  <c r="J11" i="34"/>
  <c r="W11" i="34" s="1"/>
  <c r="W25" i="33"/>
  <c r="AA17" i="33"/>
  <c r="U23" i="21"/>
  <c r="AB23" i="21"/>
  <c r="AC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M8" i="67"/>
  <c r="L48" i="67"/>
  <c r="E12" i="76"/>
  <c r="E9" i="76"/>
  <c r="F6" i="15"/>
  <c r="F37" i="67"/>
  <c r="B10" i="76"/>
  <c r="C76" i="67"/>
  <c r="F26" i="67"/>
  <c r="F38" i="67"/>
  <c r="M6" i="67"/>
  <c r="B13" i="76"/>
  <c r="F42" i="67"/>
  <c r="F3" i="73"/>
  <c r="D6" i="73"/>
  <c r="F8" i="67"/>
  <c r="AO13" i="1"/>
  <c r="E2" i="68"/>
  <c r="B9" i="76"/>
  <c r="F38" i="15"/>
  <c r="F20" i="31"/>
  <c r="F16" i="67"/>
  <c r="F6" i="67"/>
  <c r="F13" i="67"/>
  <c r="F7" i="15"/>
  <c r="M6" i="15"/>
  <c r="F36" i="67"/>
  <c r="F40" i="15"/>
  <c r="F5" i="73"/>
  <c r="F7" i="67"/>
  <c r="F42" i="15"/>
  <c r="F40" i="67"/>
  <c r="M26" i="67"/>
  <c r="E11" i="76"/>
  <c r="F6" i="73"/>
  <c r="M24" i="67"/>
  <c r="E13" i="76"/>
  <c r="F13" i="15"/>
  <c r="B7" i="76"/>
  <c r="E8" i="76"/>
  <c r="B8" i="76"/>
  <c r="E10" i="76"/>
  <c r="M28" i="15"/>
  <c r="B11" i="76"/>
  <c r="E2" i="69"/>
  <c r="L47" i="67"/>
  <c r="M28" i="67"/>
  <c r="M22" i="67"/>
  <c r="F7" i="73"/>
  <c r="F4" i="73"/>
  <c r="F9" i="67"/>
  <c r="E7" i="76"/>
  <c r="A15" i="62" l="1"/>
  <c r="B61" i="72" s="1"/>
  <c r="M18" i="85"/>
  <c r="B118" i="85" s="1"/>
  <c r="C31" i="35"/>
  <c r="D42" i="87"/>
  <c r="D3" i="35"/>
  <c r="K7" i="1"/>
  <c r="B24" i="31"/>
  <c r="C33" i="21"/>
  <c r="D33" i="43"/>
  <c r="D1" i="43" s="1"/>
  <c r="K6" i="1"/>
  <c r="AP6" i="1" s="1"/>
  <c r="E32" i="6"/>
  <c r="C51" i="10"/>
  <c r="A13" i="51" s="1"/>
  <c r="B11" i="72" s="1"/>
  <c r="A118" i="85"/>
  <c r="A2" i="85"/>
  <c r="U29" i="35"/>
  <c r="O7" i="1"/>
  <c r="P7" i="1" s="1"/>
  <c r="S37" i="21"/>
  <c r="D68" i="9"/>
  <c r="F32" i="67"/>
  <c r="F60" i="67" s="1"/>
  <c r="F30" i="11"/>
  <c r="C48" i="11" s="1"/>
  <c r="F28" i="15"/>
  <c r="M18" i="67"/>
  <c r="M18" i="15"/>
  <c r="F31" i="12"/>
  <c r="C21" i="68"/>
  <c r="G22" i="11"/>
  <c r="E1" i="73"/>
  <c r="G26" i="12"/>
  <c r="G22" i="68"/>
  <c r="G29" i="6"/>
  <c r="F29" i="6"/>
  <c r="M47" i="9"/>
  <c r="C7" i="35"/>
  <c r="C48" i="35" s="1"/>
  <c r="D48" i="35" s="1"/>
  <c r="C42" i="1"/>
  <c r="C24" i="12" s="1"/>
  <c r="C7" i="40"/>
  <c r="C63" i="40" s="1"/>
  <c r="D63" i="40" s="1"/>
  <c r="C7" i="39"/>
  <c r="C67" i="39" s="1"/>
  <c r="C7" i="36"/>
  <c r="C46" i="36" s="1"/>
  <c r="D46" i="36" s="1"/>
  <c r="E46" i="36" s="1"/>
  <c r="F46" i="36" s="1"/>
  <c r="G46" i="36" s="1"/>
  <c r="H46" i="36" s="1"/>
  <c r="I46" i="36" s="1"/>
  <c r="C7" i="21"/>
  <c r="AB25" i="33"/>
  <c r="AB36" i="33"/>
  <c r="AA23" i="21"/>
  <c r="AA19" i="33"/>
  <c r="AB23" i="33"/>
  <c r="F54" i="9"/>
  <c r="F32" i="15"/>
  <c r="F60" i="15" s="1"/>
  <c r="F52" i="9"/>
  <c r="F30" i="68"/>
  <c r="F48" i="68" s="1"/>
  <c r="AC17" i="21"/>
  <c r="AC15" i="21"/>
  <c r="AB19" i="40"/>
  <c r="AZ306" i="3"/>
  <c r="AZ502" i="3"/>
  <c r="U33" i="40"/>
  <c r="AB33" i="40"/>
  <c r="S12" i="40"/>
  <c r="AA12" i="40"/>
  <c r="AA41" i="33"/>
  <c r="S41" i="33"/>
  <c r="S34" i="33"/>
  <c r="AA34" i="33"/>
  <c r="S22" i="36"/>
  <c r="AA22" i="36"/>
  <c r="AC13" i="35"/>
  <c r="W13" i="35"/>
  <c r="S47" i="34"/>
  <c r="AA47" i="34"/>
  <c r="U46" i="34"/>
  <c r="AB46" i="34"/>
  <c r="W31" i="33"/>
  <c r="AC31" i="33"/>
  <c r="U30" i="21"/>
  <c r="AB30" i="21"/>
  <c r="AA44" i="34"/>
  <c r="S44" i="34"/>
  <c r="W36" i="34"/>
  <c r="AC36" i="34"/>
  <c r="S29" i="35"/>
  <c r="AA29" i="35"/>
  <c r="U19" i="33"/>
  <c r="AC27" i="33"/>
  <c r="AC23" i="37"/>
  <c r="U9" i="21"/>
  <c r="AC17" i="33"/>
  <c r="S36" i="33"/>
  <c r="AB33" i="34"/>
  <c r="AA20" i="35"/>
  <c r="S20" i="35"/>
  <c r="AZ520" i="3"/>
  <c r="S14" i="37"/>
  <c r="AA14" i="37"/>
  <c r="U45" i="33"/>
  <c r="AB45" i="33"/>
  <c r="AC39" i="34"/>
  <c r="G521" i="3"/>
  <c r="AC5" i="3"/>
  <c r="AZ513" i="3"/>
  <c r="AB30" i="33"/>
  <c r="U30" i="33"/>
  <c r="W28" i="21"/>
  <c r="AC28" i="21"/>
  <c r="AZ357" i="3"/>
  <c r="AZ313" i="3"/>
  <c r="AZ394" i="3"/>
  <c r="AZ531" i="3"/>
  <c r="AZ583" i="3"/>
  <c r="AZ568" i="3"/>
  <c r="AZ576" i="3"/>
  <c r="W31" i="40"/>
  <c r="G585" i="3"/>
  <c r="BL587" i="3"/>
  <c r="AZ587" i="3" s="1"/>
  <c r="BL586" i="3"/>
  <c r="AZ586" i="3" s="1"/>
  <c r="J12" i="36"/>
  <c r="H12" i="36"/>
  <c r="AZ406" i="3"/>
  <c r="AZ334" i="3"/>
  <c r="AZ523" i="3"/>
  <c r="AZ547" i="3"/>
  <c r="AZ571" i="3"/>
  <c r="AZ579" i="3"/>
  <c r="AB23" i="34"/>
  <c r="W28" i="36"/>
  <c r="B79" i="43"/>
  <c r="J24" i="36"/>
  <c r="H24" i="36"/>
  <c r="AZ387" i="3"/>
  <c r="AZ362" i="3"/>
  <c r="AZ338" i="3"/>
  <c r="AZ307" i="3"/>
  <c r="AZ390" i="3"/>
  <c r="AZ371" i="3"/>
  <c r="AZ351" i="3"/>
  <c r="AZ336" i="3"/>
  <c r="AZ305" i="3"/>
  <c r="AZ360" i="3"/>
  <c r="AZ539" i="3"/>
  <c r="AZ529" i="3"/>
  <c r="AZ537" i="3"/>
  <c r="AZ518" i="3"/>
  <c r="AZ526" i="3"/>
  <c r="AZ546" i="3"/>
  <c r="AZ564" i="3"/>
  <c r="AZ580" i="3"/>
  <c r="AZ585" i="3"/>
  <c r="AB17" i="34"/>
  <c r="BL585" i="3"/>
  <c r="H36" i="35"/>
  <c r="J36" i="35"/>
  <c r="AC36" i="35" s="1"/>
  <c r="BL550" i="3"/>
  <c r="AZ418" i="3"/>
  <c r="AZ451" i="3"/>
  <c r="AZ469" i="3"/>
  <c r="AZ483" i="3"/>
  <c r="BL346" i="3"/>
  <c r="AZ346" i="3" s="1"/>
  <c r="BA384" i="3"/>
  <c r="AZ384" i="3" s="1"/>
  <c r="BA395" i="3"/>
  <c r="AZ395" i="3" s="1"/>
  <c r="BA208" i="3"/>
  <c r="AZ208" i="3" s="1"/>
  <c r="BA211" i="3"/>
  <c r="AZ211" i="3" s="1"/>
  <c r="BL213" i="3"/>
  <c r="BL215" i="3"/>
  <c r="BA222" i="3"/>
  <c r="AZ222" i="3" s="1"/>
  <c r="J9" i="34"/>
  <c r="H12" i="34"/>
  <c r="G574" i="3"/>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G228" i="3"/>
  <c r="BL228" i="3"/>
  <c r="BA230" i="3"/>
  <c r="AZ230" i="3" s="1"/>
  <c r="BL233" i="3"/>
  <c r="BA245" i="3"/>
  <c r="AZ245" i="3" s="1"/>
  <c r="G587" i="3"/>
  <c r="J12" i="35"/>
  <c r="F25" i="37"/>
  <c r="BA551" i="3"/>
  <c r="AZ551" i="3" s="1"/>
  <c r="BA550" i="3"/>
  <c r="AZ550" i="3" s="1"/>
  <c r="BL548" i="3"/>
  <c r="AZ548" i="3" s="1"/>
  <c r="G398" i="3"/>
  <c r="BL400" i="3"/>
  <c r="AZ400" i="3" s="1"/>
  <c r="BL408" i="3"/>
  <c r="BL411" i="3"/>
  <c r="BL413" i="3"/>
  <c r="AZ413" i="3" s="1"/>
  <c r="G415" i="3"/>
  <c r="BL417" i="3"/>
  <c r="BL418" i="3"/>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AZ228" i="3"/>
  <c r="BL231" i="3"/>
  <c r="BA235" i="3"/>
  <c r="AZ235" i="3" s="1"/>
  <c r="BA236" i="3"/>
  <c r="BA238" i="3"/>
  <c r="AZ238" i="3" s="1"/>
  <c r="BA243" i="3"/>
  <c r="AZ243" i="3" s="1"/>
  <c r="BA255" i="3"/>
  <c r="BL258" i="3"/>
  <c r="AZ270" i="3"/>
  <c r="BL398" i="3"/>
  <c r="AZ398" i="3" s="1"/>
  <c r="BL403" i="3"/>
  <c r="G405" i="3"/>
  <c r="G406" i="3"/>
  <c r="BA408" i="3"/>
  <c r="BA409" i="3"/>
  <c r="AZ409" i="3" s="1"/>
  <c r="BA411" i="3"/>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A226" i="3"/>
  <c r="BA229" i="3"/>
  <c r="AZ229" i="3" s="1"/>
  <c r="BL229" i="3"/>
  <c r="BA233" i="3"/>
  <c r="AZ233" i="3" s="1"/>
  <c r="BL234" i="3"/>
  <c r="BA237" i="3"/>
  <c r="AZ237" i="3" s="1"/>
  <c r="BL240" i="3"/>
  <c r="AZ240" i="3" s="1"/>
  <c r="BA242" i="3"/>
  <c r="AZ242" i="3" s="1"/>
  <c r="BL254" i="3"/>
  <c r="BL272" i="3"/>
  <c r="BA247" i="3"/>
  <c r="AZ247" i="3" s="1"/>
  <c r="BL247" i="3"/>
  <c r="BA249" i="3"/>
  <c r="AZ249" i="3" s="1"/>
  <c r="BL249" i="3"/>
  <c r="BA251" i="3"/>
  <c r="AZ251" i="3" s="1"/>
  <c r="BL251" i="3"/>
  <c r="BA253" i="3"/>
  <c r="BL260" i="3"/>
  <c r="BL263" i="3"/>
  <c r="BL270" i="3"/>
  <c r="BA272" i="3"/>
  <c r="AZ272" i="3" s="1"/>
  <c r="BL275" i="3"/>
  <c r="AZ275" i="3" s="1"/>
  <c r="BL285" i="3"/>
  <c r="BL287" i="3"/>
  <c r="BA290" i="3"/>
  <c r="BL299" i="3"/>
  <c r="BL113" i="3"/>
  <c r="BL115" i="3"/>
  <c r="AZ115" i="3" s="1"/>
  <c r="BA118" i="3"/>
  <c r="AZ118" i="3" s="1"/>
  <c r="BL118" i="3"/>
  <c r="BA122" i="3"/>
  <c r="AZ122" i="3" s="1"/>
  <c r="BL125" i="3"/>
  <c r="AZ125" i="3" s="1"/>
  <c r="BL126" i="3"/>
  <c r="BA144" i="3"/>
  <c r="AZ144" i="3" s="1"/>
  <c r="BA153" i="3"/>
  <c r="BL158" i="3"/>
  <c r="BL165" i="3"/>
  <c r="BA178" i="3"/>
  <c r="AZ178" i="3" s="1"/>
  <c r="BL185" i="3"/>
  <c r="BL193" i="3"/>
  <c r="AZ201" i="3"/>
  <c r="BL225" i="3"/>
  <c r="BL226" i="3"/>
  <c r="G227" i="3"/>
  <c r="BA239" i="3"/>
  <c r="AZ239" i="3" s="1"/>
  <c r="BL239" i="3"/>
  <c r="BA241" i="3"/>
  <c r="BL241" i="3"/>
  <c r="BA244" i="3"/>
  <c r="AZ244" i="3" s="1"/>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G158" i="3"/>
  <c r="BL162" i="3"/>
  <c r="AZ162" i="3" s="1"/>
  <c r="BA168" i="3"/>
  <c r="AZ168" i="3" s="1"/>
  <c r="G175" i="3"/>
  <c r="BA176" i="3"/>
  <c r="AZ176" i="3" s="1"/>
  <c r="BL179" i="3"/>
  <c r="AZ179" i="3" s="1"/>
  <c r="BA181" i="3"/>
  <c r="AZ181" i="3" s="1"/>
  <c r="BA182" i="3"/>
  <c r="AZ182" i="3" s="1"/>
  <c r="BA194" i="3"/>
  <c r="BA33" i="3"/>
  <c r="BL69" i="3"/>
  <c r="AZ69" i="3" s="1"/>
  <c r="C55" i="71"/>
  <c r="D54" i="7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5" i="3"/>
  <c r="G164" i="3"/>
  <c r="BL167" i="3"/>
  <c r="AZ167" i="3" s="1"/>
  <c r="BA169" i="3"/>
  <c r="AZ169" i="3" s="1"/>
  <c r="BL171" i="3"/>
  <c r="AZ171" i="3" s="1"/>
  <c r="G174" i="3"/>
  <c r="G184" i="3"/>
  <c r="AZ294" i="3"/>
  <c r="BL194" i="3"/>
  <c r="P65" i="71"/>
  <c r="P66" i="71"/>
  <c r="C36" i="71"/>
  <c r="D35" i="71"/>
  <c r="S80" i="71"/>
  <c r="B79" i="71"/>
  <c r="B78" i="71" s="1"/>
  <c r="V24" i="71"/>
  <c r="E23" i="71"/>
  <c r="E22" i="71" s="1"/>
  <c r="E21" i="71" s="1"/>
  <c r="E20" i="71" s="1"/>
  <c r="AA3" i="71"/>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L77" i="3"/>
  <c r="BA79" i="3"/>
  <c r="AZ79" i="3" s="1"/>
  <c r="F40" i="69"/>
  <c r="C40" i="69"/>
  <c r="C52" i="71"/>
  <c r="D51" i="71"/>
  <c r="Y29" i="71"/>
  <c r="Z29" i="71" s="1"/>
  <c r="Y37" i="71"/>
  <c r="Z37" i="71" s="1"/>
  <c r="F66" i="71"/>
  <c r="Q67" i="71"/>
  <c r="X25" i="71"/>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AZ71" i="3" s="1"/>
  <c r="G76" i="3"/>
  <c r="G80" i="3"/>
  <c r="G85" i="3"/>
  <c r="BL85" i="3"/>
  <c r="BA86" i="3"/>
  <c r="AZ86" i="3" s="1"/>
  <c r="BA87" i="3"/>
  <c r="BA89" i="3"/>
  <c r="BL92" i="3"/>
  <c r="BL96" i="3"/>
  <c r="BL97" i="3"/>
  <c r="AZ97" i="3" s="1"/>
  <c r="G103" i="3"/>
  <c r="AB21" i="37"/>
  <c r="U21" i="37"/>
  <c r="T32" i="71"/>
  <c r="D32" i="71"/>
  <c r="C47" i="71"/>
  <c r="D47" i="71" s="1"/>
  <c r="D46" i="71"/>
  <c r="C67" i="71"/>
  <c r="T68" i="71"/>
  <c r="O68" i="71"/>
  <c r="T76" i="71"/>
  <c r="D76" i="71"/>
  <c r="C75" i="71"/>
  <c r="Y27" i="71"/>
  <c r="Z27" i="71" s="1"/>
  <c r="Y26" i="71"/>
  <c r="Z26" i="71" s="1"/>
  <c r="C23" i="71"/>
  <c r="B22" i="71"/>
  <c r="B21" i="71" s="1"/>
  <c r="B20" i="71" s="1"/>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77" i="3"/>
  <c r="AZ77" i="3" s="1"/>
  <c r="BA80" i="3"/>
  <c r="G84" i="3"/>
  <c r="BL84" i="3"/>
  <c r="AZ84" i="3" s="1"/>
  <c r="BL88" i="3"/>
  <c r="AZ88" i="3" s="1"/>
  <c r="BL90" i="3"/>
  <c r="G95" i="3"/>
  <c r="G96" i="3"/>
  <c r="W21" i="21"/>
  <c r="AC25" i="40"/>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103" i="3"/>
  <c r="AZ103" i="3" s="1"/>
  <c r="BA104" i="3"/>
  <c r="BA106" i="3"/>
  <c r="BL108" i="3"/>
  <c r="AZ108" i="3" s="1"/>
  <c r="BL111" i="3"/>
  <c r="AA27" i="71"/>
  <c r="S28" i="71"/>
  <c r="C83" i="71"/>
  <c r="C79" i="71"/>
  <c r="C71" i="71"/>
  <c r="C39" i="71"/>
  <c r="Y28" i="71"/>
  <c r="Z28" i="71" s="1"/>
  <c r="Y30" i="71"/>
  <c r="Z30" i="71" s="1"/>
  <c r="X28" i="71"/>
  <c r="X32" i="71"/>
  <c r="AB38" i="71"/>
  <c r="F75" i="71"/>
  <c r="F74" i="71" s="1"/>
  <c r="G101" i="3"/>
  <c r="BA101" i="3"/>
  <c r="AZ101" i="3" s="1"/>
  <c r="G109" i="3"/>
  <c r="BL112" i="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M7" i="15"/>
  <c r="F50" i="15"/>
  <c r="F66" i="67"/>
  <c r="F66" i="15"/>
  <c r="Q71" i="67"/>
  <c r="C27" i="67"/>
  <c r="N59" i="67"/>
  <c r="L59" i="67"/>
  <c r="L58" i="67"/>
  <c r="M59" i="67"/>
  <c r="B13" i="70"/>
  <c r="M7" i="67"/>
  <c r="F50" i="67"/>
  <c r="F68" i="67"/>
  <c r="F64" i="67"/>
  <c r="F68" i="15"/>
  <c r="D9" i="69"/>
  <c r="C36" i="69"/>
  <c r="F43" i="67"/>
  <c r="C36" i="68"/>
  <c r="M8" i="15"/>
  <c r="F9" i="15"/>
  <c r="M23" i="67"/>
  <c r="L48" i="15"/>
  <c r="M26" i="15"/>
  <c r="F26" i="15"/>
  <c r="D7" i="73"/>
  <c r="J15" i="67"/>
  <c r="F43" i="83"/>
  <c r="M22" i="15"/>
  <c r="M23" i="15"/>
  <c r="F16" i="15"/>
  <c r="M9" i="15"/>
  <c r="M29" i="67"/>
  <c r="F37" i="15"/>
  <c r="L47" i="15"/>
  <c r="M29" i="83"/>
  <c r="M29" i="15"/>
  <c r="C76" i="15"/>
  <c r="M9" i="67"/>
  <c r="M24" i="15"/>
  <c r="D5" i="73"/>
  <c r="J15" i="15"/>
  <c r="F43" i="15"/>
  <c r="D9" i="68"/>
  <c r="D4" i="73"/>
  <c r="F8" i="15"/>
  <c r="D3" i="73"/>
  <c r="F36" i="15"/>
  <c r="F71" i="83" l="1"/>
  <c r="F71" i="67"/>
  <c r="J33" i="21"/>
  <c r="H33" i="21"/>
  <c r="F33" i="21"/>
  <c r="N94" i="46"/>
  <c r="C26" i="31"/>
  <c r="C30" i="31"/>
  <c r="C34" i="31"/>
  <c r="C38" i="31"/>
  <c r="C42" i="31"/>
  <c r="C50" i="31"/>
  <c r="C54" i="31"/>
  <c r="C58" i="31"/>
  <c r="C62" i="31"/>
  <c r="C66" i="31"/>
  <c r="C70" i="31"/>
  <c r="C74" i="31"/>
  <c r="C78" i="31"/>
  <c r="C82" i="31"/>
  <c r="C86" i="31"/>
  <c r="C90" i="31"/>
  <c r="C94" i="31"/>
  <c r="C98" i="31"/>
  <c r="C102" i="31"/>
  <c r="C27" i="31"/>
  <c r="C31" i="31"/>
  <c r="C35" i="31"/>
  <c r="C39" i="31"/>
  <c r="C43" i="31"/>
  <c r="C47" i="31"/>
  <c r="C51" i="31"/>
  <c r="C55" i="31"/>
  <c r="C59" i="31"/>
  <c r="C63" i="31"/>
  <c r="C67" i="31"/>
  <c r="C71" i="31"/>
  <c r="C75" i="31"/>
  <c r="C79" i="31"/>
  <c r="C83" i="31"/>
  <c r="C87" i="31"/>
  <c r="C91" i="31"/>
  <c r="C95" i="31"/>
  <c r="C99" i="31"/>
  <c r="C28" i="31"/>
  <c r="C32" i="31"/>
  <c r="C36" i="31"/>
  <c r="C40" i="31"/>
  <c r="C44" i="31"/>
  <c r="C48" i="31"/>
  <c r="C52" i="31"/>
  <c r="C56" i="31"/>
  <c r="C60" i="31"/>
  <c r="C64" i="31"/>
  <c r="C68" i="31"/>
  <c r="C76" i="31"/>
  <c r="C80" i="31"/>
  <c r="C84" i="31"/>
  <c r="C88" i="31"/>
  <c r="C92" i="31"/>
  <c r="C96" i="31"/>
  <c r="C100" i="31"/>
  <c r="B22" i="31"/>
  <c r="C25" i="31"/>
  <c r="C29" i="31"/>
  <c r="C33" i="31"/>
  <c r="C37" i="31"/>
  <c r="C41" i="31"/>
  <c r="C45" i="31"/>
  <c r="C49" i="31"/>
  <c r="C53" i="31"/>
  <c r="C57" i="31"/>
  <c r="C61" i="31"/>
  <c r="C65" i="31"/>
  <c r="C69" i="31"/>
  <c r="C73" i="31"/>
  <c r="C77" i="31"/>
  <c r="C81" i="31"/>
  <c r="C85" i="31"/>
  <c r="C89" i="31"/>
  <c r="C93" i="31"/>
  <c r="C97" i="31"/>
  <c r="C101" i="31"/>
  <c r="H42" i="87"/>
  <c r="I42" i="87" s="1"/>
  <c r="C31" i="87" s="1"/>
  <c r="D1" i="87"/>
  <c r="E42" i="87"/>
  <c r="C30" i="87" s="1"/>
  <c r="B2" i="87" s="1"/>
  <c r="N370" i="46"/>
  <c r="M7" i="1"/>
  <c r="J31" i="35"/>
  <c r="H31" i="35"/>
  <c r="F31" i="35"/>
  <c r="G26" i="43"/>
  <c r="M11" i="83"/>
  <c r="J10" i="83" s="1"/>
  <c r="J5" i="83" s="1"/>
  <c r="F11" i="83"/>
  <c r="Q16" i="1"/>
  <c r="F27" i="69" s="1"/>
  <c r="C47" i="69" s="1"/>
  <c r="D45" i="69" s="1"/>
  <c r="E26" i="43"/>
  <c r="E28" i="6"/>
  <c r="K14" i="1" s="1"/>
  <c r="K16" i="1" s="1"/>
  <c r="H16" i="1"/>
  <c r="E59" i="40"/>
  <c r="D20" i="53"/>
  <c r="B40" i="72" s="1"/>
  <c r="F64" i="15"/>
  <c r="F51" i="15"/>
  <c r="F59" i="15" s="1"/>
  <c r="F31" i="15"/>
  <c r="C6" i="15"/>
  <c r="C32" i="15" s="1"/>
  <c r="Q71" i="15"/>
  <c r="F71" i="15"/>
  <c r="J57" i="15"/>
  <c r="J55" i="15" s="1"/>
  <c r="J58" i="15" s="1"/>
  <c r="Q50" i="15" s="1"/>
  <c r="I54" i="15"/>
  <c r="J53" i="15"/>
  <c r="L56" i="15" s="1"/>
  <c r="L59" i="15"/>
  <c r="Q74" i="15" s="1"/>
  <c r="N59" i="15"/>
  <c r="M59" i="15"/>
  <c r="L58" i="15"/>
  <c r="Q60" i="15" s="1"/>
  <c r="F65" i="15"/>
  <c r="C27" i="15"/>
  <c r="G16" i="1"/>
  <c r="F10" i="39" s="1"/>
  <c r="AA10" i="39" s="1"/>
  <c r="D79" i="71"/>
  <c r="C78" i="71"/>
  <c r="D78" i="71" s="1"/>
  <c r="C26" i="71"/>
  <c r="D26" i="71" s="1"/>
  <c r="D27" i="71"/>
  <c r="C56" i="71"/>
  <c r="D55" i="71"/>
  <c r="AZ194" i="3"/>
  <c r="AC9" i="34"/>
  <c r="W9" i="34"/>
  <c r="AB36" i="35"/>
  <c r="U36" i="35"/>
  <c r="J6" i="15"/>
  <c r="J18" i="15" s="1"/>
  <c r="D83" i="71"/>
  <c r="C82" i="71"/>
  <c r="D82" i="71" s="1"/>
  <c r="B19" i="71"/>
  <c r="B18" i="71" s="1"/>
  <c r="B17" i="71" s="1"/>
  <c r="B16" i="71" s="1"/>
  <c r="B15" i="71" s="1"/>
  <c r="B14" i="71" s="1"/>
  <c r="B13" i="71" s="1"/>
  <c r="B12" i="71" s="1"/>
  <c r="S20" i="71"/>
  <c r="D75" i="71"/>
  <c r="C74" i="71"/>
  <c r="D74" i="71" s="1"/>
  <c r="AZ66" i="3"/>
  <c r="T52" i="71"/>
  <c r="D52" i="71"/>
  <c r="AZ121" i="3"/>
  <c r="AZ297" i="3"/>
  <c r="AZ241" i="3"/>
  <c r="AZ223" i="3"/>
  <c r="AZ411" i="3"/>
  <c r="AZ218" i="3"/>
  <c r="AZ111" i="3"/>
  <c r="C40" i="71"/>
  <c r="D39" i="71"/>
  <c r="C22" i="71"/>
  <c r="D23" i="71"/>
  <c r="D67" i="71"/>
  <c r="C66" i="71"/>
  <c r="O67" i="71"/>
  <c r="AZ63" i="3"/>
  <c r="AZ57" i="3"/>
  <c r="AZ51" i="3"/>
  <c r="AZ126" i="3"/>
  <c r="AZ432" i="3"/>
  <c r="AZ417" i="3"/>
  <c r="AA25" i="37"/>
  <c r="S25" i="37"/>
  <c r="AB24" i="36"/>
  <c r="U24" i="36"/>
  <c r="U12" i="36"/>
  <c r="AB12" i="36"/>
  <c r="J6" i="67"/>
  <c r="J18" i="67" s="1"/>
  <c r="G5" i="3"/>
  <c r="B3" i="3" s="1"/>
  <c r="E510" i="3" s="1"/>
  <c r="C70" i="71"/>
  <c r="D70" i="71" s="1"/>
  <c r="D71" i="71"/>
  <c r="AZ58" i="3"/>
  <c r="AZ49" i="3"/>
  <c r="AZ254" i="3"/>
  <c r="AZ408" i="3"/>
  <c r="W12" i="35"/>
  <c r="AC12" i="35"/>
  <c r="AZ422" i="3"/>
  <c r="AZ403" i="3"/>
  <c r="U12" i="34"/>
  <c r="AB12" i="34"/>
  <c r="AC24" i="36"/>
  <c r="W24" i="36"/>
  <c r="AC12" i="36"/>
  <c r="W12" i="36"/>
  <c r="J7" i="37"/>
  <c r="K1" i="73"/>
  <c r="E197" i="3"/>
  <c r="E101" i="3"/>
  <c r="E149" i="3"/>
  <c r="E413" i="3"/>
  <c r="E54" i="3"/>
  <c r="E71" i="3"/>
  <c r="E359" i="3"/>
  <c r="E237" i="3"/>
  <c r="E402" i="3"/>
  <c r="E128" i="3"/>
  <c r="E437" i="3"/>
  <c r="E429" i="3"/>
  <c r="E256" i="3"/>
  <c r="E236" i="3"/>
  <c r="E448" i="3"/>
  <c r="E444" i="3"/>
  <c r="E316"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77" i="3"/>
  <c r="E568" i="3"/>
  <c r="AK6" i="3"/>
  <c r="E228" i="3"/>
  <c r="K6" i="3"/>
  <c r="E560" i="3"/>
  <c r="E465" i="3"/>
  <c r="E587" i="3"/>
  <c r="E454" i="3"/>
  <c r="E106" i="3"/>
  <c r="E214" i="3"/>
  <c r="E315" i="3"/>
  <c r="E227" i="3"/>
  <c r="E368" i="3"/>
  <c r="E327" i="3"/>
  <c r="Z6" i="3"/>
  <c r="E400" i="3"/>
  <c r="E345" i="3"/>
  <c r="E489" i="3"/>
  <c r="E28" i="3"/>
  <c r="E211" i="3"/>
  <c r="E273" i="3"/>
  <c r="E109" i="3"/>
  <c r="E217"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S16" i="71"/>
  <c r="F7" i="36"/>
  <c r="AA7" i="36" s="1"/>
  <c r="R36" i="36" s="1"/>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8" i="1"/>
  <c r="AE12" i="1"/>
  <c r="AE10" i="1"/>
  <c r="C16" i="67"/>
  <c r="C16" i="83"/>
  <c r="C16" i="15"/>
  <c r="G1" i="73"/>
  <c r="F27" i="68"/>
  <c r="AE7" i="1"/>
  <c r="F41" i="67"/>
  <c r="E142" i="3" l="1"/>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30" i="3"/>
  <c r="E121" i="3"/>
  <c r="E558" i="3"/>
  <c r="E164" i="3"/>
  <c r="E580" i="3"/>
  <c r="E73" i="3"/>
  <c r="E424" i="3"/>
  <c r="E177" i="3"/>
  <c r="E238" i="3"/>
  <c r="E17" i="3"/>
  <c r="E506" i="3"/>
  <c r="E426" i="3"/>
  <c r="E196" i="3"/>
  <c r="E157" i="3"/>
  <c r="E163" i="3"/>
  <c r="E51" i="3"/>
  <c r="E108" i="3"/>
  <c r="AB33" i="21"/>
  <c r="U33" i="21"/>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34" i="3"/>
  <c r="E88" i="3"/>
  <c r="P6" i="3"/>
  <c r="E252" i="3"/>
  <c r="E394" i="3"/>
  <c r="E496" i="3"/>
  <c r="E481" i="3"/>
  <c r="E120" i="3"/>
  <c r="E353" i="3"/>
  <c r="E565" i="3"/>
  <c r="S6" i="3"/>
  <c r="E291" i="3"/>
  <c r="E357" i="3"/>
  <c r="E461" i="3"/>
  <c r="E47" i="3"/>
  <c r="E155" i="3"/>
  <c r="E564" i="3"/>
  <c r="AA31" i="35"/>
  <c r="S31" i="35"/>
  <c r="AC33" i="21"/>
  <c r="W33" i="21"/>
  <c r="U31" i="35"/>
  <c r="AB31" i="35"/>
  <c r="B3" i="87"/>
  <c r="C6" i="88"/>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166" i="3"/>
  <c r="E581" i="3"/>
  <c r="AG6" i="3"/>
  <c r="E32" i="3"/>
  <c r="E203" i="3"/>
  <c r="AE6" i="3"/>
  <c r="E330" i="3"/>
  <c r="E434" i="3"/>
  <c r="E159" i="3"/>
  <c r="E338" i="3"/>
  <c r="O6" i="3"/>
  <c r="E367" i="3"/>
  <c r="E529" i="3"/>
  <c r="E488" i="3"/>
  <c r="E354" i="3"/>
  <c r="E38" i="3"/>
  <c r="E258" i="3"/>
  <c r="D26" i="43"/>
  <c r="C25" i="43" s="1"/>
  <c r="W31" i="35"/>
  <c r="AC31" i="35"/>
  <c r="AA33" i="21"/>
  <c r="S33" i="21"/>
  <c r="Q73" i="15"/>
  <c r="C53" i="83"/>
  <c r="C48" i="83" s="1"/>
  <c r="C10" i="83"/>
  <c r="C5" i="83" s="1"/>
  <c r="J26" i="83"/>
  <c r="J24" i="83"/>
  <c r="C49" i="15"/>
  <c r="F45" i="69"/>
  <c r="C29" i="69"/>
  <c r="D27" i="69" s="1"/>
  <c r="Q52" i="15"/>
  <c r="E480" i="3"/>
  <c r="E295" i="3"/>
  <c r="E404" i="3"/>
  <c r="E443" i="3"/>
  <c r="E576" i="3"/>
  <c r="I6" i="3"/>
  <c r="E274" i="3"/>
  <c r="E55" i="3"/>
  <c r="E344" i="3"/>
  <c r="Q6" i="3"/>
  <c r="E262" i="3"/>
  <c r="AA6" i="3"/>
  <c r="E221" i="3"/>
  <c r="E298" i="3"/>
  <c r="E97" i="3"/>
  <c r="E53" i="3"/>
  <c r="U6" i="3"/>
  <c r="W6" i="3"/>
  <c r="E307" i="3"/>
  <c r="E542" i="3"/>
  <c r="E57" i="3"/>
  <c r="E340" i="3"/>
  <c r="E78" i="3"/>
  <c r="E156" i="3"/>
  <c r="AN6" i="3"/>
  <c r="E254" i="3"/>
  <c r="E213" i="3"/>
  <c r="E169" i="3"/>
  <c r="E418" i="3"/>
  <c r="E390" i="3"/>
  <c r="E574" i="3"/>
  <c r="E153" i="3"/>
  <c r="E29" i="3"/>
  <c r="E272" i="3"/>
  <c r="E546" i="3"/>
  <c r="E432" i="3"/>
  <c r="E379" i="3"/>
  <c r="E397" i="3"/>
  <c r="E257" i="3"/>
  <c r="E475" i="3"/>
  <c r="E288" i="3"/>
  <c r="E532" i="3"/>
  <c r="E306" i="3"/>
  <c r="E122" i="3"/>
  <c r="E98" i="3"/>
  <c r="E167" i="3"/>
  <c r="AD6" i="3"/>
  <c r="E462" i="3"/>
  <c r="E373" i="3"/>
  <c r="E297" i="3"/>
  <c r="E323" i="3"/>
  <c r="E209" i="3"/>
  <c r="E500" i="3"/>
  <c r="E24" i="3"/>
  <c r="E460" i="3"/>
  <c r="E365" i="3"/>
  <c r="E112" i="3"/>
  <c r="E473" i="3"/>
  <c r="E401" i="3"/>
  <c r="E223" i="3"/>
  <c r="E225" i="3"/>
  <c r="E86" i="3"/>
  <c r="E499" i="3"/>
  <c r="E501" i="3"/>
  <c r="AM6" i="3"/>
  <c r="E126" i="3"/>
  <c r="E403" i="3"/>
  <c r="E548" i="3"/>
  <c r="E145" i="3"/>
  <c r="E93" i="3"/>
  <c r="E208" i="3"/>
  <c r="E471" i="3"/>
  <c r="E438" i="3"/>
  <c r="E313" i="3"/>
  <c r="E352" i="3"/>
  <c r="E82" i="3"/>
  <c r="E504" i="3"/>
  <c r="E87" i="3"/>
  <c r="E179" i="3"/>
  <c r="E259" i="3"/>
  <c r="E584" i="3"/>
  <c r="E436" i="3"/>
  <c r="E19" i="3"/>
  <c r="E446" i="3"/>
  <c r="E421" i="3"/>
  <c r="E65" i="3"/>
  <c r="E398" i="3"/>
  <c r="E218" i="3"/>
  <c r="E392" i="3"/>
  <c r="L6" i="3"/>
  <c r="AH6" i="3"/>
  <c r="E326" i="3"/>
  <c r="E470" i="3"/>
  <c r="E494" i="3"/>
  <c r="E280" i="3"/>
  <c r="E303" i="3"/>
  <c r="E302" i="3"/>
  <c r="E304" i="3"/>
  <c r="E321" i="3"/>
  <c r="E523" i="3"/>
  <c r="E285" i="3"/>
  <c r="E328" i="3"/>
  <c r="E319" i="3"/>
  <c r="E317" i="3"/>
  <c r="E92" i="3"/>
  <c r="E547" i="3"/>
  <c r="E411" i="3"/>
  <c r="E207" i="3"/>
  <c r="E14" i="3"/>
  <c r="E168" i="3"/>
  <c r="E537" i="3"/>
  <c r="E474" i="3"/>
  <c r="E224" i="3"/>
  <c r="E136" i="3"/>
  <c r="E127" i="3"/>
  <c r="E187" i="3"/>
  <c r="E195" i="3"/>
  <c r="Y6" i="3"/>
  <c r="H6" i="3" s="1"/>
  <c r="E374" i="3"/>
  <c r="E266" i="3"/>
  <c r="E582" i="3"/>
  <c r="E48" i="3"/>
  <c r="E110" i="3"/>
  <c r="E244" i="3"/>
  <c r="E58" i="3"/>
  <c r="E141" i="3"/>
  <c r="E62" i="3"/>
  <c r="E234" i="3"/>
  <c r="E276" i="3"/>
  <c r="E422" i="3"/>
  <c r="E35" i="3"/>
  <c r="E512" i="3"/>
  <c r="E310" i="3"/>
  <c r="E416" i="3"/>
  <c r="E222" i="3"/>
  <c r="E386" i="3"/>
  <c r="E348" i="3"/>
  <c r="E566" i="3"/>
  <c r="E165" i="3"/>
  <c r="E265" i="3"/>
  <c r="E20" i="3"/>
  <c r="E289" i="3"/>
  <c r="E36" i="3"/>
  <c r="E325" i="3"/>
  <c r="E194" i="3"/>
  <c r="E79" i="3"/>
  <c r="E540" i="3"/>
  <c r="E372" i="3"/>
  <c r="E226" i="3"/>
  <c r="E25" i="3"/>
  <c r="E419" i="3"/>
  <c r="E376" i="3"/>
  <c r="E507" i="3"/>
  <c r="E493" i="3"/>
  <c r="E188" i="3"/>
  <c r="E80" i="3"/>
  <c r="E342" i="3"/>
  <c r="E412" i="3"/>
  <c r="E41" i="3"/>
  <c r="E13" i="3"/>
  <c r="E456" i="3"/>
  <c r="E205" i="3"/>
  <c r="E174" i="3"/>
  <c r="E283" i="3"/>
  <c r="E160" i="3"/>
  <c r="E479" i="3"/>
  <c r="E536" i="3"/>
  <c r="E50" i="3"/>
  <c r="E147" i="3"/>
  <c r="E52" i="3"/>
  <c r="E339" i="3"/>
  <c r="E137" i="3"/>
  <c r="E455" i="3"/>
  <c r="E43" i="3"/>
  <c r="E333" i="3"/>
  <c r="E202" i="3"/>
  <c r="E40" i="3"/>
  <c r="E498" i="3"/>
  <c r="E490" i="3"/>
  <c r="E486" i="3"/>
  <c r="E393" i="3"/>
  <c r="E329" i="3"/>
  <c r="E370" i="3"/>
  <c r="E324" i="3"/>
  <c r="E356" i="3"/>
  <c r="E104" i="3"/>
  <c r="E556" i="3"/>
  <c r="T6" i="3"/>
  <c r="E308" i="3"/>
  <c r="E482" i="3"/>
  <c r="E68" i="3"/>
  <c r="E484" i="3"/>
  <c r="E55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116" i="3"/>
  <c r="E83" i="3"/>
  <c r="E232" i="3"/>
  <c r="E190" i="3"/>
  <c r="E243" i="3"/>
  <c r="E26" i="3"/>
  <c r="E451" i="3"/>
  <c r="E525" i="3"/>
  <c r="AF6" i="3"/>
  <c r="E391" i="3"/>
  <c r="E33" i="3"/>
  <c r="E389" i="3"/>
  <c r="E430" i="3"/>
  <c r="E543" i="3"/>
  <c r="E105" i="3"/>
  <c r="E16" i="3"/>
  <c r="E158" i="3"/>
  <c r="E49" i="3"/>
  <c r="E220" i="3"/>
  <c r="E428" i="3"/>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E452" i="3"/>
  <c r="E360" i="3"/>
  <c r="E469" i="3"/>
  <c r="E534" i="3"/>
  <c r="E140" i="3"/>
  <c r="E287" i="3"/>
  <c r="E251" i="3"/>
  <c r="E522" i="3"/>
  <c r="E129" i="3"/>
  <c r="E75" i="3"/>
  <c r="E332" i="3"/>
  <c r="E21" i="3"/>
  <c r="E264" i="3"/>
  <c r="E355" i="3"/>
  <c r="E67" i="3"/>
  <c r="E371" i="3"/>
  <c r="E46" i="3"/>
  <c r="E409" i="3"/>
  <c r="E349" i="3"/>
  <c r="E152" i="3"/>
  <c r="E417" i="3"/>
  <c r="AP6" i="3"/>
  <c r="E466" i="3"/>
  <c r="E575" i="3"/>
  <c r="E539" i="3"/>
  <c r="E113" i="3"/>
  <c r="E206" i="3"/>
  <c r="E383" i="3"/>
  <c r="E96" i="3"/>
  <c r="E42" i="3"/>
  <c r="E281" i="3"/>
  <c r="E513" i="3"/>
  <c r="E81" i="3"/>
  <c r="E233" i="3"/>
  <c r="E84" i="3"/>
  <c r="E249" i="3"/>
  <c r="E64" i="3"/>
  <c r="E59" i="3"/>
  <c r="E292" i="3"/>
  <c r="E95" i="3"/>
  <c r="E491" i="3"/>
  <c r="E255" i="3"/>
  <c r="E442" i="3"/>
  <c r="E286" i="3"/>
  <c r="Q61" i="15"/>
  <c r="F1" i="15"/>
  <c r="S10" i="39"/>
  <c r="H10" i="39"/>
  <c r="U10" i="39" s="1"/>
  <c r="H10" i="40"/>
  <c r="AB10" i="40" s="1"/>
  <c r="J10" i="39"/>
  <c r="W10" i="39" s="1"/>
  <c r="J10" i="40"/>
  <c r="AC10" i="40" s="1"/>
  <c r="F10" i="40"/>
  <c r="S10" i="40" s="1"/>
  <c r="J5" i="67"/>
  <c r="J24" i="67" s="1"/>
  <c r="J5" i="15"/>
  <c r="J24" i="15" s="1"/>
  <c r="O65" i="71"/>
  <c r="D66" i="71"/>
  <c r="O66" i="71"/>
  <c r="C21" i="71"/>
  <c r="D22" i="71"/>
  <c r="E3" i="6"/>
  <c r="T40" i="71"/>
  <c r="D40" i="71"/>
  <c r="D56" i="71"/>
  <c r="T56" i="71"/>
  <c r="E381" i="3"/>
  <c r="E144" i="3"/>
  <c r="E23" i="3"/>
  <c r="E300" i="3"/>
  <c r="E103" i="3"/>
  <c r="E425" i="3"/>
  <c r="E76" i="3"/>
  <c r="E363" i="3"/>
  <c r="E192" i="3"/>
  <c r="E56" i="3"/>
  <c r="E435" i="3"/>
  <c r="I3" i="6"/>
  <c r="E541" i="3"/>
  <c r="R6" i="3"/>
  <c r="E199"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67"/>
  <c r="AE6" i="1"/>
  <c r="M27" i="15"/>
  <c r="F41" i="15"/>
  <c r="L36" i="87" l="1"/>
  <c r="L37" i="87" s="1"/>
  <c r="F22" i="88"/>
  <c r="C48" i="15"/>
  <c r="C66" i="15" s="1"/>
  <c r="L36" i="43"/>
  <c r="L37" i="43" s="1"/>
  <c r="P37" i="43" s="1"/>
  <c r="F24" i="83"/>
  <c r="C38" i="83"/>
  <c r="C66" i="83"/>
  <c r="C60" i="83"/>
  <c r="AC6" i="3"/>
  <c r="E6" i="3" s="1"/>
  <c r="W10" i="40"/>
  <c r="D116" i="43"/>
  <c r="U10" i="40"/>
  <c r="AC10" i="39"/>
  <c r="AB10" i="39"/>
  <c r="AA10" i="40"/>
  <c r="F22" i="68"/>
  <c r="C44" i="68" s="1"/>
  <c r="D41" i="68" s="1"/>
  <c r="F25" i="12"/>
  <c r="C26" i="12" s="1"/>
  <c r="D25" i="12" s="1"/>
  <c r="D21" i="71"/>
  <c r="C20" i="7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F50" i="8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F41" i="83"/>
  <c r="D10" i="68"/>
  <c r="C17" i="15"/>
  <c r="C14" i="67"/>
  <c r="C17" i="67"/>
  <c r="C17" i="83"/>
  <c r="D10" i="88"/>
  <c r="F69" i="83" l="1"/>
  <c r="J29" i="83"/>
  <c r="C10" i="88"/>
  <c r="C8" i="88" s="1"/>
  <c r="D19" i="88"/>
  <c r="D37" i="88" s="1"/>
  <c r="C37" i="88" s="1"/>
  <c r="E7" i="70"/>
  <c r="S20" i="6"/>
  <c r="L18" i="85"/>
  <c r="M19" i="85"/>
  <c r="C118" i="85" s="1"/>
  <c r="L19" i="85"/>
  <c r="M36" i="87"/>
  <c r="Q36" i="87"/>
  <c r="N36" i="87"/>
  <c r="O36" i="87"/>
  <c r="P36" i="87"/>
  <c r="F41" i="88"/>
  <c r="C26" i="88"/>
  <c r="D22" i="88" s="1"/>
  <c r="C24" i="88"/>
  <c r="C44" i="88"/>
  <c r="D41" i="88" s="1"/>
  <c r="N37" i="87"/>
  <c r="Q37" i="87"/>
  <c r="M37" i="87"/>
  <c r="P37" i="87"/>
  <c r="O37" i="87"/>
  <c r="C60" i="15"/>
  <c r="O36" i="43"/>
  <c r="O37" i="43"/>
  <c r="Q37" i="43"/>
  <c r="P36" i="43"/>
  <c r="M36" i="43"/>
  <c r="F41" i="68"/>
  <c r="M37" i="43"/>
  <c r="N36" i="43"/>
  <c r="N37" i="43"/>
  <c r="Q36" i="43"/>
  <c r="C24" i="83"/>
  <c r="C26" i="68"/>
  <c r="D22" i="68" s="1"/>
  <c r="C26" i="11"/>
  <c r="D22" i="11" s="1"/>
  <c r="C44" i="11"/>
  <c r="D41" i="11" s="1"/>
  <c r="C19" i="71"/>
  <c r="T20" i="71"/>
  <c r="D20" i="71"/>
  <c r="U20" i="71" s="1"/>
  <c r="C25" i="11"/>
  <c r="C24" i="11"/>
  <c r="C44" i="69"/>
  <c r="D41" i="69" s="1"/>
  <c r="C26" i="69"/>
  <c r="D22" i="69"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88"/>
  <c r="B6" i="76"/>
  <c r="C14" i="83"/>
  <c r="E6" i="76"/>
  <c r="C15" i="83" l="1"/>
  <c r="C18" i="83"/>
  <c r="C35" i="88"/>
  <c r="C38" i="88"/>
  <c r="C7" i="88"/>
  <c r="C5" i="88" s="1"/>
  <c r="B3" i="43"/>
  <c r="C6" i="68"/>
  <c r="C7" i="68"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3" l="1"/>
  <c r="C20" i="83" s="1"/>
  <c r="C33" i="88"/>
  <c r="C39" i="88" s="1"/>
  <c r="C43" i="88" s="1"/>
  <c r="C20" i="88"/>
  <c r="C25" i="88" s="1"/>
  <c r="C23" i="88"/>
  <c r="C5" i="68"/>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42" i="88" l="1"/>
  <c r="C41" i="88" s="1"/>
  <c r="C46" i="88"/>
  <c r="C45" i="88" s="1"/>
  <c r="C26" i="83"/>
  <c r="C23" i="83"/>
  <c r="C20" i="68"/>
  <c r="C28" i="68" s="1"/>
  <c r="C27" i="68" s="1"/>
  <c r="C22" i="88"/>
  <c r="C28" i="88"/>
  <c r="C27" i="88"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F35" i="15"/>
  <c r="M21" i="83"/>
  <c r="F35" i="83"/>
  <c r="M21" i="67"/>
  <c r="C49" i="88" l="1"/>
  <c r="C51" i="88" s="1"/>
  <c r="C29" i="83"/>
  <c r="C36" i="83" s="1"/>
  <c r="C25" i="68"/>
  <c r="C22" i="68" s="1"/>
  <c r="C31" i="68" s="1"/>
  <c r="C31" i="88"/>
  <c r="E48" i="21"/>
  <c r="E53" i="21" s="1"/>
  <c r="F53" i="21" s="1"/>
  <c r="J20" i="83"/>
  <c r="J17" i="83" s="1"/>
  <c r="C34" i="83"/>
  <c r="C31" i="83" s="1"/>
  <c r="F63" i="83"/>
  <c r="C62" i="83" s="1"/>
  <c r="C59" i="83"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57" i="83" l="1"/>
  <c r="C64" i="83" s="1"/>
  <c r="J59" i="83"/>
  <c r="J60" i="83" s="1"/>
  <c r="Q48" i="83" s="1"/>
  <c r="C52" i="88"/>
  <c r="C57" i="88" s="1"/>
  <c r="C56" i="88" s="1"/>
  <c r="Q49" i="83"/>
  <c r="C13" i="83"/>
  <c r="Q70" i="83" s="1"/>
  <c r="J14" i="83"/>
  <c r="J22" i="83" s="1"/>
  <c r="C52" i="68"/>
  <c r="B2" i="68"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D2" i="21"/>
  <c r="L46" i="83" l="1"/>
  <c r="B2" i="88"/>
  <c r="C37" i="83"/>
  <c r="C30" i="83" s="1"/>
  <c r="C39" i="83" s="1"/>
  <c r="Q69" i="83" s="1"/>
  <c r="Q68" i="83" s="1"/>
  <c r="C75" i="83"/>
  <c r="J13" i="83"/>
  <c r="J23" i="83" s="1"/>
  <c r="J16" i="83" s="1"/>
  <c r="J25" i="83" s="1"/>
  <c r="C56" i="83"/>
  <c r="C65" i="83" s="1"/>
  <c r="C58" i="83" s="1"/>
  <c r="C67" i="83" s="1"/>
  <c r="C68" i="83" s="1"/>
  <c r="C71" i="83" s="1"/>
  <c r="H41" i="83"/>
  <c r="C57" i="68"/>
  <c r="C56" i="68" s="1"/>
  <c r="Q69" i="67"/>
  <c r="Q68" i="67" s="1"/>
  <c r="H41" i="67"/>
  <c r="L57" i="83"/>
  <c r="D14" i="71"/>
  <c r="C13" i="71"/>
  <c r="C80" i="67"/>
  <c r="C79" i="67" s="1"/>
  <c r="C40" i="67"/>
  <c r="C45" i="67" s="1"/>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C19" i="9"/>
  <c r="B3" i="88"/>
  <c r="L51" i="67"/>
  <c r="L51" i="83"/>
  <c r="D2" i="33"/>
  <c r="C40" i="83" l="1"/>
  <c r="B2" i="83" s="1"/>
  <c r="B3" i="83" s="1"/>
  <c r="C80" i="83"/>
  <c r="C79" i="83" s="1"/>
  <c r="Q67" i="83"/>
  <c r="C102" i="9"/>
  <c r="C21" i="9"/>
  <c r="B3" i="21"/>
  <c r="Q69" i="15"/>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20" i="9"/>
  <c r="D2" i="34"/>
  <c r="D2" i="35"/>
  <c r="D2" i="37"/>
  <c r="C43" i="83" l="1"/>
  <c r="Q47" i="83"/>
  <c r="Q53" i="83" s="1"/>
  <c r="C83" i="83"/>
  <c r="C82" i="83" s="1"/>
  <c r="Q56" i="83"/>
  <c r="Q62" i="83" s="1"/>
  <c r="C46" i="83"/>
  <c r="Q65" i="83"/>
  <c r="Q75" i="83" s="1"/>
  <c r="C103" i="9"/>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8" i="1"/>
  <c r="AO11" i="1"/>
  <c r="AO10" i="1"/>
  <c r="B3" i="35" l="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G19" i="9"/>
  <c r="G21" i="9" s="1"/>
  <c r="D22" i="9"/>
  <c r="D21" i="9"/>
  <c r="B6"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85"/>
  <c r="D102" i="85" l="1"/>
  <c r="D21" i="85"/>
  <c r="B3" i="70"/>
  <c r="G20" i="9"/>
  <c r="C32" i="9" s="1"/>
  <c r="D103" i="9"/>
  <c r="D9" i="71"/>
  <c r="C8" i="71"/>
  <c r="C42" i="40"/>
  <c r="C43" i="40"/>
  <c r="E47" i="40"/>
  <c r="F47" i="40" s="1"/>
  <c r="E46" i="40"/>
  <c r="F46" i="40" s="1"/>
  <c r="I47" i="40"/>
  <c r="J47" i="40" s="1"/>
  <c r="D20" i="85"/>
  <c r="D103" i="85" l="1"/>
  <c r="C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7" i="71"/>
  <c r="C6" i="71"/>
  <c r="D34" i="9"/>
  <c r="D6" i="71" l="1"/>
  <c r="C5" i="71"/>
  <c r="D5" i="71" s="1"/>
  <c r="M24" i="43" s="1"/>
  <c r="G118" i="9"/>
  <c r="F118" i="9" s="1"/>
  <c r="G4" i="52" l="1"/>
  <c r="B52" i="72" s="1"/>
  <c r="F119" i="9"/>
  <c r="F5" i="52" s="1"/>
  <c r="B53" i="72" s="1"/>
  <c r="F4" i="52"/>
  <c r="B51" i="72" s="1"/>
  <c r="I118" i="9"/>
  <c r="H102" i="9" s="1"/>
  <c r="D7" i="53" l="1"/>
  <c r="B21" i="72" s="1"/>
  <c r="E118" i="9"/>
  <c r="C105" i="9"/>
  <c r="I4" i="52"/>
  <c r="R24" i="31"/>
  <c r="H118" i="9"/>
  <c r="S24" i="31" l="1"/>
  <c r="R33" i="31"/>
  <c r="S33" i="31" s="1"/>
  <c r="R65" i="31"/>
  <c r="S65" i="31" s="1"/>
  <c r="R97" i="31"/>
  <c r="S97" i="31" s="1"/>
  <c r="R91" i="31"/>
  <c r="S91" i="31" s="1"/>
  <c r="R54" i="31"/>
  <c r="S54" i="31" s="1"/>
  <c r="R86" i="31"/>
  <c r="S86" i="31" s="1"/>
  <c r="R63" i="31"/>
  <c r="S63" i="31" s="1"/>
  <c r="R44" i="31"/>
  <c r="S44" i="31" s="1"/>
  <c r="R76" i="31"/>
  <c r="S76" i="31" s="1"/>
  <c r="R47" i="31"/>
  <c r="S47" i="31" s="1"/>
  <c r="R53" i="31"/>
  <c r="S53" i="31" s="1"/>
  <c r="R85" i="31"/>
  <c r="S85" i="31" s="1"/>
  <c r="R59" i="31"/>
  <c r="S59" i="31" s="1"/>
  <c r="R42" i="31"/>
  <c r="S42" i="31" s="1"/>
  <c r="R74" i="31"/>
  <c r="S74" i="31" s="1"/>
  <c r="R31" i="31"/>
  <c r="S31" i="31" s="1"/>
  <c r="R32" i="31"/>
  <c r="S32" i="31" s="1"/>
  <c r="R64" i="31"/>
  <c r="S64" i="31" s="1"/>
  <c r="R96" i="31"/>
  <c r="S96" i="31" s="1"/>
  <c r="R25" i="31"/>
  <c r="S25" i="31" s="1"/>
  <c r="R57" i="31"/>
  <c r="S57" i="31" s="1"/>
  <c r="R89" i="31"/>
  <c r="S89" i="31" s="1"/>
  <c r="R71" i="31"/>
  <c r="S71" i="31" s="1"/>
  <c r="R46" i="31"/>
  <c r="S46" i="31" s="1"/>
  <c r="R78" i="31"/>
  <c r="S78" i="31" s="1"/>
  <c r="R43" i="31"/>
  <c r="S43" i="31" s="1"/>
  <c r="R36" i="31"/>
  <c r="S36" i="31" s="1"/>
  <c r="R68" i="31"/>
  <c r="S68" i="31" s="1"/>
  <c r="R100" i="31"/>
  <c r="S100" i="31" s="1"/>
  <c r="R29" i="31"/>
  <c r="S29" i="31" s="1"/>
  <c r="R61" i="31"/>
  <c r="S61" i="31" s="1"/>
  <c r="R93" i="31"/>
  <c r="S93" i="31" s="1"/>
  <c r="R79" i="31"/>
  <c r="S79" i="31" s="1"/>
  <c r="R50" i="31"/>
  <c r="S50" i="31" s="1"/>
  <c r="R82" i="31"/>
  <c r="S82" i="31" s="1"/>
  <c r="R55" i="31"/>
  <c r="S55" i="31" s="1"/>
  <c r="R40" i="31"/>
  <c r="S40" i="31" s="1"/>
  <c r="R72" i="31"/>
  <c r="S72" i="31" s="1"/>
  <c r="R35" i="31"/>
  <c r="S35" i="31" s="1"/>
  <c r="R98" i="31"/>
  <c r="S98" i="31" s="1"/>
  <c r="R56" i="31"/>
  <c r="S56" i="31" s="1"/>
  <c r="R95" i="31"/>
  <c r="S95" i="31" s="1"/>
  <c r="R49" i="31"/>
  <c r="S49" i="31" s="1"/>
  <c r="R81" i="31"/>
  <c r="S81" i="31" s="1"/>
  <c r="R51" i="31"/>
  <c r="S51" i="31" s="1"/>
  <c r="R38" i="31"/>
  <c r="S38" i="31" s="1"/>
  <c r="R70" i="31"/>
  <c r="S70" i="31" s="1"/>
  <c r="R102" i="31"/>
  <c r="S102" i="31" s="1"/>
  <c r="R28" i="31"/>
  <c r="S28" i="31" s="1"/>
  <c r="R60" i="31"/>
  <c r="S60" i="31" s="1"/>
  <c r="R92" i="31"/>
  <c r="S92" i="31" s="1"/>
  <c r="R37" i="31"/>
  <c r="S37" i="31" s="1"/>
  <c r="R69" i="31"/>
  <c r="S69" i="31" s="1"/>
  <c r="R101" i="31"/>
  <c r="S101" i="31" s="1"/>
  <c r="R26" i="31"/>
  <c r="S26" i="31" s="1"/>
  <c r="R58" i="31"/>
  <c r="S58" i="31" s="1"/>
  <c r="R90" i="31"/>
  <c r="S90" i="31" s="1"/>
  <c r="R75" i="31"/>
  <c r="S75" i="31" s="1"/>
  <c r="R48" i="31"/>
  <c r="S48" i="31" s="1"/>
  <c r="R80" i="31"/>
  <c r="S80" i="31" s="1"/>
  <c r="R67" i="31"/>
  <c r="S67" i="31" s="1"/>
  <c r="R41" i="31"/>
  <c r="S41" i="31" s="1"/>
  <c r="R73" i="31"/>
  <c r="S73" i="31" s="1"/>
  <c r="R27" i="31"/>
  <c r="S27" i="31" s="1"/>
  <c r="R30" i="31"/>
  <c r="S30" i="31" s="1"/>
  <c r="R62" i="31"/>
  <c r="S62" i="31" s="1"/>
  <c r="R94" i="31"/>
  <c r="S94" i="31" s="1"/>
  <c r="R87" i="31"/>
  <c r="S87" i="31" s="1"/>
  <c r="R52" i="31"/>
  <c r="S52" i="31" s="1"/>
  <c r="R84" i="31"/>
  <c r="S84" i="31" s="1"/>
  <c r="R83" i="31"/>
  <c r="S83" i="31" s="1"/>
  <c r="R45" i="31"/>
  <c r="S45" i="31" s="1"/>
  <c r="R77" i="31"/>
  <c r="S77" i="31" s="1"/>
  <c r="R39" i="31"/>
  <c r="S39" i="31" s="1"/>
  <c r="R34" i="31"/>
  <c r="S34" i="31" s="1"/>
  <c r="R66" i="31"/>
  <c r="S66" i="31" s="1"/>
  <c r="R99" i="31"/>
  <c r="S99" i="31" s="1"/>
  <c r="R88" i="31"/>
  <c r="S88" i="31" s="1"/>
  <c r="H101" i="9"/>
  <c r="H119" i="9"/>
  <c r="H5" i="52" s="1"/>
  <c r="H4" i="52"/>
  <c r="C104" i="9"/>
  <c r="E4" i="52"/>
  <c r="B48" i="72" s="1"/>
  <c r="D118" i="9"/>
  <c r="S22" i="31" l="1"/>
  <c r="D5" i="53"/>
  <c r="H107" i="9"/>
  <c r="D119" i="9"/>
  <c r="D5" i="52" s="1"/>
  <c r="B49" i="72" s="1"/>
  <c r="D4" i="52"/>
  <c r="B47" i="72" s="1"/>
  <c r="K8" i="74" l="1"/>
  <c r="M48" i="9"/>
  <c r="R22" i="31"/>
  <c r="K9" i="74" s="1"/>
  <c r="B20" i="31"/>
  <c r="B21" i="31" s="1"/>
  <c r="D13" i="53"/>
  <c r="H108" i="9"/>
  <c r="D122" i="9"/>
  <c r="D6" i="53"/>
  <c r="B22" i="72" s="1"/>
  <c r="B20" i="72"/>
  <c r="C19" i="85"/>
  <c r="C20" i="85"/>
  <c r="M49" i="9" l="1"/>
  <c r="L68" i="9" s="1"/>
  <c r="M68" i="9" s="1"/>
  <c r="D45" i="9"/>
  <c r="C102" i="85"/>
  <c r="G19" i="85"/>
  <c r="F25" i="85" s="1"/>
  <c r="D22" i="85"/>
  <c r="C21" i="85"/>
  <c r="G20" i="85"/>
  <c r="C103" i="85"/>
  <c r="D123" i="9"/>
  <c r="D9" i="52" s="1"/>
  <c r="D8" i="52"/>
  <c r="D15" i="53"/>
  <c r="B31" i="72" s="1"/>
  <c r="D14" i="53"/>
  <c r="B32" i="72" s="1"/>
  <c r="B30" i="72"/>
  <c r="L8" i="74" l="1"/>
  <c r="M8" i="74" s="1"/>
  <c r="D45" i="85"/>
  <c r="L63" i="9"/>
  <c r="M63" i="9" s="1"/>
  <c r="L65" i="9"/>
  <c r="M65" i="9" s="1"/>
  <c r="L67" i="9"/>
  <c r="M67" i="9" s="1"/>
  <c r="L66" i="9"/>
  <c r="M66" i="9" s="1"/>
  <c r="L64" i="9"/>
  <c r="M64" i="9" s="1"/>
  <c r="D52" i="9"/>
  <c r="C93" i="9"/>
  <c r="C86" i="9" s="1"/>
  <c r="C64" i="9"/>
  <c r="C63" i="9" s="1"/>
  <c r="C67" i="9" s="1"/>
  <c r="D55" i="9"/>
  <c r="M53" i="9" s="1"/>
  <c r="D53" i="9"/>
  <c r="D48" i="9" s="1"/>
  <c r="M52" i="9" s="1"/>
  <c r="C78" i="9"/>
  <c r="C73" i="9" s="1"/>
  <c r="C72" i="9"/>
  <c r="C85" i="9"/>
  <c r="C32" i="85"/>
  <c r="D35" i="85" s="1"/>
  <c r="L9" i="74"/>
  <c r="D14" i="74"/>
  <c r="K5" i="74" s="1"/>
  <c r="G21" i="85"/>
  <c r="C35" i="85"/>
  <c r="M48" i="85" l="1"/>
  <c r="M49" i="85"/>
  <c r="C95" i="9"/>
  <c r="C96" i="9" s="1"/>
  <c r="E96" i="9" s="1"/>
  <c r="E97" i="9" s="1"/>
  <c r="M69" i="9"/>
  <c r="N69" i="9" s="1"/>
  <c r="C79" i="9"/>
  <c r="C80" i="9" s="1"/>
  <c r="E80" i="9" s="1"/>
  <c r="E81" i="9" s="1"/>
  <c r="C68" i="9"/>
  <c r="D54" i="9" s="1"/>
  <c r="D59" i="9"/>
  <c r="M55" i="9" s="1"/>
  <c r="G14" i="74"/>
  <c r="B6" i="74" s="1"/>
  <c r="B5" i="74"/>
  <c r="D5" i="74" s="1"/>
  <c r="F14" i="74"/>
  <c r="E14" i="74"/>
  <c r="C34" i="85"/>
  <c r="D34" i="85"/>
  <c r="C97" i="9" l="1"/>
  <c r="D58" i="9" s="1"/>
  <c r="D56" i="9" s="1"/>
  <c r="M54" i="9" s="1"/>
  <c r="N57" i="9" s="1"/>
  <c r="P57" i="9" s="1"/>
  <c r="C81" i="9"/>
  <c r="C5" i="74"/>
  <c r="D6" i="74"/>
  <c r="C6" i="74"/>
  <c r="N58" i="9"/>
  <c r="G118" i="85"/>
  <c r="F118" i="85"/>
  <c r="F119" i="85" s="1"/>
  <c r="I118" i="85"/>
  <c r="H102" i="85" s="1"/>
  <c r="N59" i="9" l="1"/>
  <c r="N60" i="9"/>
  <c r="N61" i="9"/>
  <c r="H118" i="85"/>
  <c r="H119" i="85" s="1"/>
  <c r="C105" i="85"/>
  <c r="E118" i="85"/>
  <c r="D118" i="85" s="1"/>
  <c r="D119" i="85" s="1"/>
  <c r="C104" i="85" l="1"/>
  <c r="H101" i="85"/>
  <c r="H107" i="85"/>
  <c r="C64" i="85" l="1"/>
  <c r="C63" i="85" s="1"/>
  <c r="C67" i="85" s="1"/>
  <c r="C78" i="85"/>
  <c r="C73" i="85" s="1"/>
  <c r="D52" i="85"/>
  <c r="C93" i="85"/>
  <c r="C86" i="85" s="1"/>
  <c r="D55" i="85"/>
  <c r="M53" i="85" s="1"/>
  <c r="C72" i="85"/>
  <c r="C79" i="85" s="1"/>
  <c r="D53" i="85"/>
  <c r="D48" i="85" s="1"/>
  <c r="M52" i="85" s="1"/>
  <c r="C85" i="85"/>
  <c r="D122" i="85"/>
  <c r="D123" i="85" s="1"/>
  <c r="H108" i="85"/>
  <c r="C95" i="85" l="1"/>
  <c r="C96" i="85" s="1"/>
  <c r="E96" i="85" s="1"/>
  <c r="E97" i="85" s="1"/>
  <c r="L63" i="85"/>
  <c r="M63" i="85" s="1"/>
  <c r="L64" i="85"/>
  <c r="M64" i="85" s="1"/>
  <c r="L65" i="85"/>
  <c r="M65" i="85" s="1"/>
  <c r="L66" i="85"/>
  <c r="M66" i="85" s="1"/>
  <c r="L68" i="85"/>
  <c r="M68" i="85" s="1"/>
  <c r="L67" i="85"/>
  <c r="M67" i="85" s="1"/>
  <c r="C80" i="85"/>
  <c r="E80" i="85" s="1"/>
  <c r="E81" i="85" s="1"/>
  <c r="C68" i="85"/>
  <c r="D54" i="85" s="1"/>
  <c r="D59" i="85"/>
  <c r="M55" i="85" s="1"/>
  <c r="M69" i="85" l="1"/>
  <c r="N69" i="85" s="1"/>
  <c r="C81" i="85"/>
  <c r="C97" i="85"/>
  <c r="D58" i="85" s="1"/>
  <c r="D56" i="85" s="1"/>
  <c r="M54" i="85" s="1"/>
  <c r="N57" i="85" s="1"/>
  <c r="P57" i="85" l="1"/>
  <c r="N58" i="85"/>
  <c r="N59" i="85"/>
  <c r="B7" i="74" l="1"/>
  <c r="I14" i="74"/>
  <c r="B8" i="74" s="1"/>
  <c r="C7" i="74"/>
  <c r="D7" i="74"/>
  <c r="N61" i="85"/>
  <c r="N60" i="85"/>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<sst xmlns="http://schemas.openxmlformats.org/spreadsheetml/2006/main" count="9284" uniqueCount="3603">
  <si>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</si>
  <si>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</si>
  <si>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</si>
  <si>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</si>
  <si>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</si>
  <si>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</si>
  <si>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</si>
  <si>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</si>
  <si>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</si>
  <si>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</si>
  <si>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</si>
  <si>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</si>
  <si>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</si>
  <si>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</si>
  <si>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</si>
  <si>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</si>
  <si>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</si>
  <si>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</si>
  <si>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</si>
  <si>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</si>
  <si>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</si>
  <si>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</si>
  <si>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</si>
  <si>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</si>
  <si>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</si>
  <si>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</si>
  <si>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</si>
  <si>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</si>
  <si>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</si>
  <si>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</si>
  <si>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</si>
  <si>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</si>
  <si>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</si>
  <si>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</si>
  <si>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</si>
  <si>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</si>
  <si>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</si>
  <si>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</si>
  <si>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</si>
  <si>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</si>
  <si>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</si>
  <si>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</si>
  <si>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</si>
  <si>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</si>
  <si>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</si>
  <si>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</si>
  <si>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</si>
  <si>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</si>
  <si>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</si>
  <si>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</si>
  <si>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</si>
  <si>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</si>
  <si>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</si>
  <si>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</si>
  <si>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</si>
  <si>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</si>
  <si>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</si>
  <si>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</si>
  <si>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</si>
  <si>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</si>
  <si>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</si>
  <si>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</si>
  <si>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</si>
  <si>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</si>
  <si>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</si>
  <si>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</si>
  <si>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</si>
  <si>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</si>
  <si>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</si>
  <si>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</si>
  <si>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</si>
  <si>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</si>
  <si>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</si>
  <si>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</si>
  <si>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</si>
  <si>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</si>
  <si>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</si>
  <si>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</si>
  <si>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</si>
  <si>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</si>
  <si>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</si>
  <si>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</si>
  <si>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</si>
  <si>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</si>
  <si>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</si>
  <si>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</si>
  <si>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</si>
  <si>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</si>
  <si>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</si>
  <si>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</si>
  <si>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</si>
  <si>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</si>
  <si>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</si>
  <si>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</si>
  <si>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</si>
  <si>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</si>
  <si>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</si>
  <si>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</si>
  <si>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</si>
  <si>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</si>
  <si>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</si>
  <si>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</si>
  <si>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</si>
  <si>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</si>
  <si>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</si>
  <si>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</si>
  <si>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</si>
  <si>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</si>
  <si>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</si>
  <si>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</si>
  <si>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</si>
  <si>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</si>
  <si>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</si>
  <si>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</si>
  <si>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</si>
  <si>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</si>
  <si>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</si>
  <si>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</si>
  <si>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</si>
  <si>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</si>
  <si>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</si>
  <si>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</si>
  <si>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</si>
  <si>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</si>
  <si>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</si>
  <si>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</si>
  <si>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</si>
  <si>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</si>
  <si>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</si>
  <si>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</si>
  <si>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</si>
  <si>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</si>
  <si>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</si>
  <si>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</si>
  <si>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</si>
  <si>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</si>
  <si>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</si>
  <si>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</si>
  <si>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</si>
  <si>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</si>
  <si>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</si>
  <si>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</si>
  <si>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</si>
  <si>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</si>
  <si>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</si>
  <si>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</si>
  <si>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</si>
  <si>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</si>
  <si>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</si>
  <si>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</si>
  <si>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</si>
  <si>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</si>
  <si>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</si>
  <si>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</si>
  <si>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</si>
  <si>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</si>
  <si>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</si>
  <si>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</si>
  <si>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</si>
  <si>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</si>
  <si>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</si>
  <si>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</si>
  <si>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</si>
  <si>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</si>
  <si>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</si>
  <si>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</si>
  <si>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</si>
  <si>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</si>
  <si>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</si>
  <si>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</si>
  <si>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</si>
  <si>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</si>
  <si>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</si>
  <si>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</si>
  <si>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</si>
  <si>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</si>
  <si>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</si>
  <si>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</si>
  <si>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</si>
  <si>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</si>
  <si>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</si>
  <si>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</si>
  <si>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</si>
  <si>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</si>
  <si>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</si>
  <si>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</si>
  <si>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</si>
  <si>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</si>
  <si>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</si>
  <si>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</si>
  <si>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</si>
  <si>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</si>
  <si>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</si>
  <si>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</si>
  <si>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</si>
  <si>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</si>
  <si>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</si>
  <si>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</si>
  <si>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</si>
  <si>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</si>
  <si>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</si>
  <si>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</si>
  <si>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</si>
  <si>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</si>
  <si>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</si>
  <si>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</si>
  <si>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</si>
  <si>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</si>
  <si>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</si>
  <si>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</si>
  <si>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</si>
  <si>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</si>
  <si>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</si>
  <si>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</si>
  <si>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</si>
  <si>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</si>
  <si>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</si>
  <si>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</si>
  <si>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</si>
  <si>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</si>
  <si>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</si>
  <si>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</si>
  <si>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</si>
  <si>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</si>
  <si>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</si>
  <si>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</si>
  <si>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</si>
  <si>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</si>
  <si>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</si>
  <si>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</si>
  <si>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</si>
  <si>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</si>
  <si>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</si>
  <si>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</si>
  <si>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</si>
  <si>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</si>
  <si>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</si>
  <si>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</si>
  <si>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</si>
  <si>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</si>
  <si>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</si>
  <si>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</si>
  <si>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</si>
  <si>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</si>
  <si>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</si>
  <si>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</si>
  <si>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</si>
  <si>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</si>
  <si>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</si>
  <si>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</si>
  <si>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</si>
  <si>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</si>
  <si>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</si>
  <si>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</si>
  <si>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</si>
  <si>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</si>
  <si>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</si>
  <si>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</si>
  <si>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</si>
  <si>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</si>
  <si>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</si>
  <si>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</si>
  <si>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</si>
  <si>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</si>
  <si>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</si>
  <si>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</si>
  <si>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</si>
  <si>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</si>
  <si>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</si>
  <si>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</si>
  <si>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</si>
  <si>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</si>
  <si>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</si>
  <si>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</si>
  <si>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</si>
  <si>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</si>
  <si>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</si>
  <si>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</si>
  <si>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</si>
  <si>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</si>
  <si>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</si>
  <si>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</si>
  <si>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</si>
  <si>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</si>
  <si>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</si>
  <si>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</si>
  <si>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</si>
  <si>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</si>
  <si>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</si>
  <si>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</si>
  <si>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</si>
  <si>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</si>
  <si>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</si>
  <si>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</si>
  <si>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</si>
  <si>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</si>
  <si>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</si>
  <si>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</si>
  <si>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</si>
  <si>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</si>
  <si>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</si>
  <si>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</si>
  <si>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</si>
  <si>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</si>
  <si>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</si>
  <si>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</si>
  <si>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</si>
  <si>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</si>
  <si>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</si>
  <si>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</si>
  <si>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</si>
  <si>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</si>
  <si>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</si>
  <si>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</si>
  <si>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</si>
  <si>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</si>
  <si>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</si>
  <si>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</si>
  <si>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</si>
  <si>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</si>
  <si>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</si>
  <si>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</si>
  <si>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</si>
  <si>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</si>
  <si>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</si>
  <si>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</si>
  <si>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</si>
  <si>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</si>
  <si>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</si>
  <si>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</si>
  <si>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</si>
  <si>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</si>
  <si>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</si>
  <si>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</si>
  <si>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</si>
  <si>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</si>
  <si>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</si>
  <si>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</si>
  <si>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</si>
  <si>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</si>
  <si>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</si>
  <si>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</si>
  <si>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</si>
  <si>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</si>
  <si>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</si>
  <si>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</si>
  <si>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</si>
  <si>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</si>
  <si>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</si>
  <si>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</si>
  <si>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</si>
  <si>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</si>
  <si>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</si>
  <si>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</si>
  <si>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</si>
  <si>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</si>
  <si>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</si>
  <si>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</si>
  <si>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</si>
  <si>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</si>
  <si>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</si>
  <si>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</si>
  <si>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</si>
  <si>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</si>
  <si>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</si>
  <si>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</si>
  <si>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</si>
  <si>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</si>
  <si>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</si>
  <si>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</si>
  <si>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</si>
  <si>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</si>
  <si>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</si>
  <si>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</si>
  <si>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</si>
  <si>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</si>
  <si>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</si>
  <si>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</si>
  <si>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</si>
  <si>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</si>
  <si>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</si>
  <si>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</si>
  <si>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</si>
  <si>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</si>
  <si>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</si>
  <si>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</si>
  <si>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</si>
  <si>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</si>
  <si>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</si>
  <si>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</si>
  <si>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</si>
  <si>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</si>
  <si>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</si>
  <si>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</si>
  <si>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</si>
  <si>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</si>
  <si>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</si>
  <si>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</si>
  <si>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</si>
  <si>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</si>
  <si>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</si>
  <si>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</si>
  <si>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</si>
  <si>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</si>
  <si>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</si>
  <si>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</si>
  <si>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</si>
  <si>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</si>
  <si>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</si>
  <si>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</si>
  <si>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</si>
  <si>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</si>
  <si>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</si>
  <si>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</si>
  <si>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</si>
  <si>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</si>
  <si>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</si>
  <si>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</si>
  <si>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</si>
  <si>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</si>
  <si>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</si>
  <si>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</si>
  <si>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</si>
  <si>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</si>
  <si>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</si>
  <si>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</si>
  <si>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</si>
  <si>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</si>
  <si>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</si>
  <si>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</si>
  <si>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</si>
  <si>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</si>
  <si>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</si>
  <si>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</si>
  <si>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</si>
  <si>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</si>
  <si>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</si>
  <si>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</si>
  <si>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</si>
  <si>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</si>
  <si>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</si>
  <si>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</si>
  <si>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</si>
  <si>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</si>
  <si>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</si>
  <si>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</si>
  <si>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</si>
  <si>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</si>
  <si>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</si>
  <si>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</si>
  <si>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</si>
  <si>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</si>
  <si>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</si>
  <si>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</si>
  <si>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</si>
  <si>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</si>
  <si>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</si>
  <si>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</si>
  <si>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</si>
  <si>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</si>
  <si>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</si>
  <si>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</si>
  <si>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</si>
  <si>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</si>
  <si>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</si>
  <si>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</si>
  <si>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</si>
  <si>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</si>
  <si>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</si>
  <si>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</si>
  <si>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</si>
  <si>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</si>
  <si>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</si>
  <si>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</si>
  <si>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</si>
  <si>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</si>
  <si>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</si>
  <si>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</si>
  <si>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</si>
  <si>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</si>
  <si>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</si>
  <si>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</si>
  <si>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</si>
  <si>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</si>
  <si>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</si>
  <si>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</si>
  <si>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</si>
  <si>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</si>
  <si>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</si>
  <si>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</si>
  <si>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</si>
  <si>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</si>
  <si>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</si>
  <si>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</si>
  <si>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</si>
  <si>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</si>
  <si>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</si>
  <si>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</si>
  <si>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</si>
  <si>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</si>
  <si>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</si>
  <si>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</si>
  <si>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</si>
  <si>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</si>
  <si>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</si>
  <si>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</si>
  <si>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</si>
  <si>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</si>
  <si>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</si>
  <si>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</si>
  <si>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</si>
  <si>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</si>
  <si>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</si>
  <si>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</si>
  <si>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</si>
  <si>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</si>
  <si>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</si>
  <si>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</si>
  <si>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</si>
  <si>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</si>
  <si>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</si>
  <si>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</si>
  <si>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</si>
  <si>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</si>
  <si>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</si>
  <si>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</si>
  <si>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</si>
  <si>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</si>
  <si>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</si>
  <si>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</si>
  <si>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</si>
  <si>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</si>
  <si>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</si>
  <si>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</si>
  <si>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</si>
  <si>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</si>
  <si>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</si>
  <si>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</si>
  <si>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</si>
  <si>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</si>
  <si>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</si>
  <si>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</si>
  <si>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</si>
  <si>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</si>
  <si>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</si>
  <si>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</si>
  <si>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</si>
  <si>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</si>
  <si>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</si>
  <si>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</si>
  <si>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</si>
  <si>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</si>
  <si>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</si>
  <si>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</si>
  <si>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</si>
  <si>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</si>
  <si>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</si>
  <si>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</si>
  <si>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</si>
  <si>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</si>
  <si>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</si>
  <si>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</si>
  <si>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</si>
  <si>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</si>
  <si>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</si>
  <si>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</si>
  <si>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</si>
  <si>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</si>
  <si>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</si>
  <si>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</si>
  <si>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</si>
  <si>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</si>
  <si>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</si>
  <si>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</si>
  <si>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</si>
  <si>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</si>
  <si>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</si>
  <si>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</si>
  <si>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</si>
  <si>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</si>
  <si>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</si>
  <si>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</si>
  <si>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</si>
  <si>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</si>
  <si>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</si>
  <si>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</si>
  <si>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</si>
  <si>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</si>
  <si>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</si>
  <si>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</si>
  <si>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</si>
  <si>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</si>
  <si>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</si>
  <si>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</si>
  <si>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</si>
  <si>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</si>
  <si>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</si>
  <si>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</si>
  <si>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</si>
  <si>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</si>
  <si>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</si>
  <si>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</si>
  <si>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</si>
  <si>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</si>
  <si>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</si>
  <si>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</si>
  <si>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</si>
  <si>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</si>
  <si>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</si>
  <si>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</si>
  <si>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</si>
  <si>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</si>
  <si>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</si>
  <si>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</si>
  <si>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</si>
  <si>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</si>
  <si>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</si>
  <si>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</si>
  <si>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</si>
  <si>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</si>
  <si>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</si>
  <si>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</si>
  <si>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</si>
  <si>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</si>
  <si>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</si>
  <si>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</si>
  <si>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</si>
  <si>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</si>
  <si>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</si>
  <si>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</si>
  <si>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</si>
  <si>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</si>
  <si>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</si>
  <si>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</si>
  <si>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</si>
  <si>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</si>
  <si>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</si>
  <si>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</si>
  <si>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</si>
  <si>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</si>
  <si>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</si>
  <si>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</si>
  <si>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</si>
  <si>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</si>
  <si>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</si>
  <si>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</si>
  <si>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</si>
  <si>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</si>
  <si>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</si>
  <si>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</si>
  <si>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</si>
  <si>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</si>
  <si>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</si>
  <si>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</si>
  <si>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</si>
  <si>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</si>
  <si>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</si>
  <si>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</si>
  <si>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</si>
  <si>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</si>
  <si>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</si>
  <si>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</si>
  <si>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</si>
  <si>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</si>
  <si>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</si>
  <si>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</si>
  <si>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</si>
  <si>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</si>
  <si>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</si>
  <si>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</si>
  <si>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</si>
  <si>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</si>
  <si>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</si>
  <si>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</si>
  <si>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</si>
  <si>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</si>
  <si>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</si>
  <si>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</si>
  <si>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</si>
  <si>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</si>
  <si>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</si>
  <si>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</si>
  <si>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</si>
  <si>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</si>
  <si>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</si>
  <si>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</si>
  <si>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</si>
  <si>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</si>
  <si>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</si>
  <si>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</si>
  <si>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</si>
  <si>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</si>
  <si>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</si>
  <si>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</si>
  <si>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</si>
  <si>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</si>
  <si>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</si>
  <si>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</si>
  <si>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</si>
  <si>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</si>
  <si>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</si>
  <si>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</si>
  <si>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</si>
  <si>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</si>
  <si>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</si>
  <si>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</si>
  <si>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</si>
  <si>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</si>
  <si>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</si>
  <si>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</si>
  <si>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</si>
  <si>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</si>
  <si>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</si>
  <si>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</si>
  <si>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</si>
  <si>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</si>
  <si>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</si>
  <si>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</si>
  <si>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</si>
  <si>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</si>
  <si>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</si>
  <si>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</si>
  <si>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</si>
  <si>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</si>
  <si>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</si>
  <si>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</si>
  <si>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</si>
  <si>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</si>
  <si>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</si>
  <si>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</si>
  <si>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</si>
  <si>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</si>
  <si>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</si>
  <si>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</si>
  <si>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</si>
  <si>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</si>
  <si>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</si>
  <si>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</si>
  <si>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</si>
  <si>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</si>
  <si>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</si>
  <si>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</si>
  <si>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</si>
  <si>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</si>
  <si>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</si>
  <si>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</si>
  <si>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</si>
  <si>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</si>
  <si>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</si>
  <si>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</si>
  <si>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</si>
  <si>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</si>
  <si>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</si>
  <si>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</si>
  <si>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</si>
  <si>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</si>
  <si>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</si>
  <si>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</si>
  <si>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</si>
  <si>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</si>
  <si>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</si>
  <si>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</si>
  <si>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</si>
  <si>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</si>
  <si>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</si>
  <si>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</si>
  <si>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</si>
  <si>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</si>
  <si>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</si>
  <si>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</si>
  <si>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</si>
  <si>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</si>
  <si>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</si>
  <si>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</si>
  <si>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</si>
  <si>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</si>
  <si>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</si>
  <si>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</si>
  <si>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</si>
  <si>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</si>
  <si>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</si>
  <si>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</si>
  <si>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</si>
  <si>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</si>
  <si>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</si>
  <si>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</si>
  <si>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</si>
  <si>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</si>
  <si>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</si>
  <si>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</si>
  <si>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</si>
  <si>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</si>
  <si>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</si>
  <si>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</si>
  <si>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</si>
  <si>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</si>
  <si>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</si>
  <si>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</si>
  <si>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</si>
  <si>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</si>
  <si>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</si>
  <si>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</si>
  <si>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</si>
  <si>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</si>
  <si>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</si>
  <si>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</si>
  <si>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</si>
  <si>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</si>
  <si>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</si>
  <si>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</si>
  <si>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</si>
  <si>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</si>
  <si>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</si>
  <si>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</si>
  <si>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</si>
  <si>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</si>
  <si>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</si>
  <si>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</si>
  <si>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</si>
  <si>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</si>
  <si>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</si>
  <si>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</si>
  <si>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</si>
  <si>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</si>
  <si>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</si>
  <si>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</si>
  <si>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</si>
  <si>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</si>
  <si>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</si>
  <si>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</si>
  <si>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</si>
  <si>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</si>
  <si>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</si>
  <si>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</si>
  <si>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</si>
  <si>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</si>
  <si>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</si>
  <si>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</si>
  <si>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</si>
  <si>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</si>
  <si>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</si>
  <si>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</si>
  <si>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</si>
  <si>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</si>
  <si>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</si>
  <si>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</si>
  <si>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</si>
  <si>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</si>
  <si>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</si>
  <si>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</si>
  <si>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</si>
  <si>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</si>
  <si>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</si>
  <si>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</si>
  <si>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</si>
  <si>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</si>
  <si>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</si>
  <si>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</si>
  <si>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</si>
  <si>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</si>
  <si>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</si>
  <si>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</si>
  <si>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</si>
  <si>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</si>
  <si>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</si>
  <si>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</si>
  <si>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</si>
  <si>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</si>
  <si>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</si>
  <si>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</si>
  <si>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</si>
  <si>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</si>
  <si>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</si>
  <si>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</si>
  <si>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</si>
  <si>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</si>
  <si>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</si>
  <si>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</si>
  <si>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</si>
  <si>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</si>
  <si>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</si>
  <si>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</si>
  <si>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</si>
  <si>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</si>
  <si>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</si>
  <si>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</si>
  <si>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</si>
  <si>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</si>
  <si>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</si>
  <si>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</si>
  <si>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</si>
  <si>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</si>
  <si>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</si>
  <si>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</si>
  <si>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</si>
  <si>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</si>
  <si>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</si>
  <si>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</si>
  <si>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</si>
  <si>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</si>
  <si>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</si>
  <si>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</si>
  <si>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</si>
  <si>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</si>
  <si>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</si>
  <si>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</si>
  <si>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</si>
  <si>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</si>
  <si>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</si>
  <si>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</si>
  <si>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</si>
  <si>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</si>
  <si>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</si>
  <si>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</si>
  <si>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</si>
  <si>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</si>
  <si>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</si>
  <si>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</si>
  <si>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</si>
  <si>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</si>
  <si>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</si>
  <si>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</si>
  <si>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</si>
  <si>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</si>
  <si>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</si>
  <si>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</si>
  <si>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</si>
  <si>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</si>
  <si>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</si>
  <si>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</si>
  <si>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</si>
  <si>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</si>
  <si>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</si>
  <si>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</si>
  <si>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</si>
  <si>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</si>
  <si>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</si>
  <si>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</si>
  <si>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</si>
  <si>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</si>
  <si>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</si>
  <si>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</si>
  <si>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</si>
  <si>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</si>
  <si>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</si>
  <si>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</si>
  <si>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</si>
  <si>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</si>
  <si>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</si>
  <si>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</si>
  <si>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</si>
  <si>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</si>
  <si>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</si>
  <si>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</si>
  <si>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</si>
  <si>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</si>
  <si>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</si>
  <si>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</si>
  <si>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</si>
  <si>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</si>
  <si>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</si>
  <si>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</si>
  <si>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</si>
  <si>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</si>
  <si>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</si>
  <si>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</si>
  <si>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</si>
  <si>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</si>
  <si>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</si>
  <si>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</si>
  <si>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</si>
  <si>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</si>
  <si>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</si>
  <si>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</si>
  <si>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</si>
  <si>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</si>
  <si>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</si>
  <si>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</si>
  <si>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</si>
  <si>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</si>
  <si>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</si>
  <si>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</si>
  <si>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</si>
  <si>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</si>
  <si>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</si>
  <si>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</si>
  <si>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</si>
  <si>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</si>
  <si>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</si>
  <si>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</si>
  <si>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</si>
  <si>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</si>
  <si>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</si>
  <si>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</si>
  <si>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</si>
  <si>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</si>
  <si>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</si>
  <si>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</si>
  <si>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</si>
  <si>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</si>
  <si>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</si>
  <si>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</si>
  <si>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</si>
  <si>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</si>
  <si>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</si>
  <si>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</si>
  <si>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</si>
  <si>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</si>
  <si>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</si>
  <si>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</si>
  <si>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</si>
  <si>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</si>
  <si>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</si>
  <si>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</si>
  <si>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</si>
  <si>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</si>
  <si>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</si>
  <si>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</si>
  <si>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</si>
  <si>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</si>
  <si>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</si>
  <si>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</si>
  <si>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</si>
  <si>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</si>
  <si>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</si>
  <si>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</si>
  <si>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</si>
  <si>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</si>
  <si>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</si>
  <si>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</si>
  <si>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</si>
  <si>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</si>
  <si>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</si>
  <si>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</si>
  <si>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</si>
  <si>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</si>
  <si>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</si>
  <si>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</si>
  <si>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</si>
  <si>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</si>
  <si>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</si>
  <si>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</si>
  <si>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</si>
  <si>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</si>
  <si>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</si>
  <si>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</si>
  <si>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</si>
  <si>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</si>
  <si>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</si>
  <si>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</si>
  <si>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</si>
  <si>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</si>
  <si>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</si>
  <si>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</si>
  <si>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</si>
  <si>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</si>
  <si>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</si>
  <si>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</si>
  <si>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</si>
  <si>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</si>
  <si>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</si>
  <si>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</si>
  <si>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</si>
  <si>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</si>
  <si>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</si>
  <si>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</si>
  <si>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</si>
  <si>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</si>
  <si>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</si>
  <si>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</si>
  <si>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</si>
  <si>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</si>
  <si>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</si>
  <si>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</si>
  <si>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</si>
  <si>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</si>
  <si>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</si>
  <si>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</si>
  <si>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</si>
  <si>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</si>
  <si>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</si>
  <si>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</si>
  <si>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</si>
  <si>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</si>
  <si>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</si>
  <si>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</si>
  <si>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</si>
  <si>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</si>
  <si>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</si>
  <si>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</si>
  <si>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</si>
  <si>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</si>
  <si>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</si>
  <si>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</si>
  <si>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</si>
  <si>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</si>
  <si>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</si>
  <si>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</si>
  <si>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</si>
  <si>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</si>
  <si>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</si>
  <si>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</si>
  <si>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</si>
  <si>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</si>
  <si>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</si>
  <si>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</si>
  <si>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</si>
  <si>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</si>
  <si>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</si>
  <si>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</si>
  <si>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</si>
  <si>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</si>
  <si>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</si>
  <si>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</si>
  <si>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</si>
  <si>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</si>
  <si>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</si>
  <si>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</si>
  <si>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</si>
  <si>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</si>
  <si>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</si>
  <si>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</si>
  <si>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</si>
  <si>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</si>
  <si>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</si>
  <si>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</si>
  <si>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</si>
  <si>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</si>
  <si>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</si>
  <si>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</si>
  <si>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</si>
  <si>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</si>
  <si>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</si>
  <si>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</si>
  <si>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</si>
  <si>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</si>
  <si>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</si>
  <si>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</si>
  <si>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</si>
  <si>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</si>
  <si>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</si>
  <si>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</si>
  <si>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</si>
  <si>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</si>
  <si>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</si>
  <si>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</si>
  <si>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</si>
  <si>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</si>
  <si>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</si>
  <si>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</si>
  <si>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</si>
  <si>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</si>
  <si>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</si>
  <si>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</si>
  <si>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</si>
  <si>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</si>
  <si>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</si>
  <si>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</si>
  <si>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</si>
  <si>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</si>
  <si>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</si>
  <si>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</si>
  <si>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</si>
  <si>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</si>
  <si>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</si>
  <si>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</si>
  <si>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</si>
  <si>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</si>
  <si>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</si>
  <si>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</si>
  <si>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</si>
  <si>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</si>
  <si>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</si>
  <si>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</si>
  <si>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</si>
  <si>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</si>
  <si>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</si>
  <si>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</si>
  <si>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</si>
  <si>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</si>
  <si>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</si>
  <si>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</si>
  <si>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</si>
  <si>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</si>
  <si>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</si>
  <si>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</si>
  <si>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</si>
  <si>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</si>
  <si>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</si>
  <si>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</si>
  <si>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</si>
  <si>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</si>
  <si>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</si>
  <si>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</si>
  <si>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</si>
  <si>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</si>
  <si>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</si>
  <si>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</si>
  <si>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</si>
  <si>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</si>
  <si>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</si>
  <si>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</si>
  <si>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</si>
  <si>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</si>
  <si>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</si>
  <si>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</si>
  <si>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</si>
  <si>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</si>
  <si>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</si>
  <si>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</si>
  <si>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</si>
  <si>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</si>
  <si>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</si>
  <si>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</si>
  <si>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</si>
  <si>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</si>
  <si>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</si>
  <si>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</si>
  <si>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</si>
  <si>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</si>
  <si>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</si>
  <si>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</si>
  <si>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</si>
  <si>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</si>
  <si>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</si>
  <si>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</si>
  <si>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</si>
  <si>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</si>
  <si>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</si>
  <si>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</si>
  <si>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</si>
  <si>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</si>
  <si>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</si>
  <si>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</si>
  <si>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</si>
  <si>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</si>
  <si>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</si>
  <si>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</si>
  <si>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</si>
  <si>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</si>
  <si>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</si>
  <si>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</si>
  <si>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</si>
  <si>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</si>
  <si>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</si>
  <si>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</si>
  <si>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</si>
  <si>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</si>
  <si>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</si>
  <si>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</si>
  <si>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</si>
  <si>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</si>
  <si>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</si>
  <si>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</si>
  <si>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</si>
  <si>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</si>
  <si>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</si>
  <si>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</si>
  <si>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</si>
  <si>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</si>
  <si>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</si>
  <si>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</si>
  <si>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</si>
  <si>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</si>
  <si>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</si>
  <si>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</si>
  <si>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</si>
  <si>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</si>
  <si>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</si>
  <si>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</si>
  <si>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</si>
  <si>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</si>
  <si>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</si>
  <si>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</si>
  <si>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</si>
  <si>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</si>
  <si>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</si>
  <si>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</si>
  <si>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</si>
  <si>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</si>
  <si>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</si>
  <si>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</si>
  <si>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</si>
  <si>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</si>
  <si>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</si>
  <si>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</si>
  <si>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</si>
  <si>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</si>
  <si>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</si>
  <si>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</si>
  <si>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</si>
  <si>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</si>
  <si>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</si>
  <si>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</si>
  <si>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</si>
  <si>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</si>
  <si>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</si>
  <si>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</si>
  <si>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</si>
  <si>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</si>
  <si>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</si>
  <si>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</si>
  <si>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</si>
  <si>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</si>
  <si>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</si>
  <si>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</si>
  <si>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</si>
  <si>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</si>
  <si>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</si>
  <si>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</si>
  <si>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</si>
  <si>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</si>
  <si>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</si>
  <si>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</si>
  <si>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</si>
  <si>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</si>
  <si>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</si>
  <si>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</si>
  <si>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</si>
  <si>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</si>
  <si>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</si>
  <si>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</si>
  <si>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</si>
  <si>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</si>
  <si>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</si>
  <si>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</si>
  <si>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</si>
  <si>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</si>
  <si>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</si>
  <si>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</si>
  <si>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</si>
  <si>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</si>
  <si>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</si>
  <si>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</si>
  <si>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</si>
  <si>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</si>
  <si>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</si>
  <si>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</si>
  <si>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</si>
  <si>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</si>
  <si>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</si>
  <si>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</si>
  <si>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</si>
  <si>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</si>
  <si>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</si>
  <si>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</si>
  <si>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</si>
  <si>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</si>
  <si>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</si>
  <si>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</si>
  <si>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</si>
  <si>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</si>
  <si>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</si>
  <si>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</si>
  <si>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</si>
  <si>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</si>
  <si>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</si>
  <si>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</si>
  <si>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</si>
  <si>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</si>
  <si>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</si>
  <si>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</si>
  <si>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</si>
  <si>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</si>
  <si>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</si>
  <si>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</si>
  <si>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</si>
  <si>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</si>
  <si>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</si>
  <si>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</si>
  <si>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</si>
  <si>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</si>
  <si>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</si>
  <si>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</si>
  <si>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</si>
  <si>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</si>
  <si>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</si>
  <si>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</si>
  <si>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</si>
  <si>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</si>
  <si>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</si>
  <si>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</si>
  <si>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</si>
  <si>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</si>
  <si>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</si>
  <si>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</si>
  <si>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</si>
  <si>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</si>
  <si>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</si>
  <si>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</si>
  <si>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</si>
  <si>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</si>
  <si>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</si>
  <si>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</si>
  <si>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</si>
  <si>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</si>
  <si>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</si>
  <si>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</si>
  <si>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</si>
  <si>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</si>
  <si>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</si>
  <si>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</si>
  <si>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</si>
  <si>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</si>
  <si>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</si>
  <si>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</si>
  <si>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</si>
  <si>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</si>
  <si>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</si>
  <si>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</si>
  <si>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</si>
  <si>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</si>
  <si>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</si>
  <si>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</si>
  <si>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</si>
  <si>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</si>
  <si>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</si>
  <si>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</si>
  <si>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</si>
  <si>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</si>
  <si>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</si>
  <si>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</si>
  <si>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</si>
  <si>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</si>
  <si>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</si>
  <si>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</si>
  <si>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</si>
  <si>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</si>
  <si>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</si>
  <si>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</si>
  <si>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</si>
  <si>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</si>
  <si>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</si>
  <si>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</si>
  <si>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</si>
  <si>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</si>
  <si>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</si>
  <si>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</si>
  <si>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</si>
  <si>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</si>
  <si>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</si>
  <si>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</si>
  <si>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</si>
  <si>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</si>
  <si>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</si>
  <si>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</si>
  <si>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</si>
  <si>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</si>
  <si>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</si>
  <si>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</si>
  <si>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</si>
  <si>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</si>
  <si>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</si>
  <si>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</si>
  <si>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</si>
  <si>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</si>
  <si>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</si>
  <si>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</si>
  <si>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</si>
  <si>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</si>
  <si>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</si>
  <si>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</si>
  <si>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</si>
  <si>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</si>
  <si>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</si>
  <si>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</si>
  <si>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</si>
  <si>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</si>
  <si>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</si>
  <si>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</si>
  <si>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</si>
  <si>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</si>
  <si>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</si>
  <si>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</si>
  <si>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</si>
  <si>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</si>
  <si>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</si>
  <si>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</si>
  <si>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</si>
  <si>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</si>
  <si>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</si>
  <si>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</si>
  <si>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</si>
  <si>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</si>
  <si>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</si>
  <si>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</si>
  <si>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</si>
  <si>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</si>
  <si>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</si>
  <si>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</si>
  <si>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</si>
  <si>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</si>
  <si>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</si>
  <si>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</si>
  <si>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</si>
  <si>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</si>
  <si>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</si>
  <si>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</si>
  <si>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</si>
  <si>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</si>
  <si>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</si>
  <si>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</si>
  <si>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</si>
  <si>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</si>
  <si>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</si>
  <si>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</si>
  <si>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</si>
  <si>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</si>
  <si>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</si>
  <si>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</si>
  <si>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</si>
  <si>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</si>
  <si>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</si>
  <si>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</si>
  <si>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</si>
  <si>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</si>
  <si>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</si>
  <si>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</si>
  <si>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</si>
  <si>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</si>
  <si>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</si>
  <si>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</si>
  <si>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</si>
  <si>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</si>
  <si>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</si>
  <si>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</si>
  <si>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</si>
  <si>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</si>
  <si>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</si>
  <si>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</si>
  <si>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</si>
  <si>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</si>
  <si>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</si>
  <si>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</si>
  <si>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</si>
  <si>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</si>
  <si>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</si>
  <si>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</si>
  <si>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</si>
  <si>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</si>
  <si>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</si>
  <si>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</si>
  <si>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</si>
  <si>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</si>
  <si>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</si>
  <si>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</si>
  <si>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</si>
  <si>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</si>
  <si>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</si>
  <si>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</si>
  <si>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</si>
  <si>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</si>
  <si>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</si>
  <si>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</si>
  <si>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</si>
  <si>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</si>
  <si>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</si>
  <si>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</si>
  <si>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</si>
  <si>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</si>
  <si>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</si>
  <si>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</si>
  <si>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</si>
  <si>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</si>
  <si>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</si>
  <si>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</si>
  <si>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</si>
  <si>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</si>
  <si>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</si>
  <si>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</si>
  <si>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</si>
  <si>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</si>
  <si>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</si>
  <si>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</si>
  <si>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</si>
  <si>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</si>
  <si>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</si>
  <si>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</si>
  <si>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</si>
  <si>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</si>
  <si>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</si>
  <si>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</si>
  <si>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</si>
  <si>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</si>
  <si>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</si>
  <si>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</si>
  <si>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</si>
  <si>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</si>
  <si>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</si>
  <si>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</si>
  <si>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</si>
  <si>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</si>
  <si>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</si>
  <si>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</si>
  <si>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</si>
  <si>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</si>
  <si>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</si>
  <si>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</si>
  <si>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</si>
  <si>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</si>
  <si>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</si>
  <si>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</si>
  <si>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</si>
  <si>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</si>
  <si>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</si>
  <si>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</si>
  <si>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</si>
  <si>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</si>
  <si>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</si>
  <si>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</si>
  <si>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</si>
  <si>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</si>
  <si>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</si>
  <si>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</si>
  <si>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</si>
  <si>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</si>
  <si>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</si>
  <si>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</si>
  <si>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</si>
  <si>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</si>
  <si>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</si>
  <si>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</si>
  <si>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</si>
  <si>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</si>
  <si>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</si>
  <si>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</si>
  <si>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</si>
  <si>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</si>
  <si>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</si>
  <si>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</si>
  <si>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</si>
  <si>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</si>
  <si>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</si>
  <si>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</si>
  <si>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</si>
  <si>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</si>
  <si>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</si>
  <si>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</si>
  <si>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</si>
  <si>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</si>
  <si>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</si>
  <si>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</si>
  <si>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</si>
  <si>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</si>
  <si>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</si>
  <si>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</si>
  <si>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</si>
  <si>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</si>
  <si>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</si>
  <si>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</si>
  <si>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</si>
  <si>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</si>
  <si>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</si>
  <si>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</si>
  <si>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</si>
  <si>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</si>
  <si>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</si>
  <si>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</si>
  <si>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</si>
  <si>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</si>
  <si>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</si>
  <si>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</si>
  <si>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</si>
  <si>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</si>
  <si>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</si>
  <si>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</si>
  <si>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</si>
  <si>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</si>
  <si>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</si>
  <si>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</si>
  <si>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</si>
  <si>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</si>
  <si>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</si>
  <si>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</si>
  <si>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</si>
  <si>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</si>
  <si>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</si>
  <si>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</si>
  <si>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</si>
  <si>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</si>
  <si>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</si>
  <si>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</si>
  <si>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</si>
  <si>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</si>
  <si>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</si>
  <si>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</si>
  <si>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</si>
  <si>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</si>
  <si>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</si>
  <si>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</si>
  <si>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</si>
  <si>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</si>
  <si>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</si>
  <si>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</si>
  <si>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</si>
  <si>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</si>
  <si>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</si>
  <si>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</si>
  <si>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</si>
  <si>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</si>
  <si>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</si>
  <si>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</si>
  <si>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</si>
  <si>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</si>
  <si>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</si>
  <si>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</si>
  <si>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</si>
  <si>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</si>
  <si>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</si>
  <si>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</si>
  <si>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</si>
  <si>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</si>
  <si>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</si>
  <si>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</si>
  <si>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</si>
  <si>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</si>
  <si>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</si>
  <si>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</si>
  <si>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</si>
  <si>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</si>
  <si>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</si>
  <si>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</si>
  <si>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</si>
  <si>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</si>
  <si>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</si>
  <si>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</si>
  <si>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</si>
  <si>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</si>
  <si>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</si>
  <si>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</si>
  <si>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</si>
  <si>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</si>
  <si>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</si>
  <si>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</si>
  <si>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</si>
  <si>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</si>
  <si>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</si>
  <si>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</si>
  <si>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</si>
  <si>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</si>
  <si>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</si>
  <si>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</si>
  <si>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</si>
  <si>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</si>
  <si>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</si>
  <si>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</si>
  <si>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</si>
  <si>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</si>
  <si>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</si>
  <si>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</si>
  <si>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</si>
  <si>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</si>
  <si>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</si>
  <si>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</si>
  <si>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</si>
  <si>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</si>
  <si>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</si>
  <si>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</si>
  <si>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</si>
  <si>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</si>
  <si>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</si>
  <si>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</si>
  <si>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</si>
  <si>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</si>
  <si>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</si>
  <si>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</si>
  <si>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</si>
  <si>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</si>
  <si>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</si>
  <si>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</si>
  <si>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</si>
  <si>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</si>
  <si>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</si>
  <si>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</si>
  <si>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</si>
  <si>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</si>
  <si>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</si>
  <si>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</si>
  <si>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</si>
  <si>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</si>
  <si>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</si>
  <si>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</si>
  <si>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</si>
  <si>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</si>
  <si>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</si>
  <si>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</si>
  <si>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</si>
  <si>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</si>
  <si>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</si>
  <si>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</si>
  <si>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</si>
  <si>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</si>
  <si>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</si>
  <si>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</si>
  <si>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</si>
  <si>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</si>
  <si>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</si>
  <si>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</si>
  <si>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</si>
  <si>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</si>
  <si>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</si>
  <si>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</si>
  <si>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</si>
  <si>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</si>
  <si>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</si>
  <si>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</si>
  <si>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</si>
  <si>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</si>
  <si>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</si>
  <si>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</si>
  <si>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</si>
  <si>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</si>
  <si>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</si>
  <si>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</si>
  <si>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</si>
  <si>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</si>
  <si>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</si>
  <si>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</si>
  <si>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</si>
  <si>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</si>
  <si>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</si>
  <si>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</si>
  <si>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</si>
  <si>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</si>
  <si>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</si>
  <si>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</si>
  <si>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</si>
  <si>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</si>
  <si>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</si>
  <si>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</si>
  <si>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</si>
  <si>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</si>
  <si>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</si>
  <si>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</si>
  <si>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</si>
  <si>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</si>
  <si>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</si>
  <si>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</si>
  <si>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</si>
  <si>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</si>
  <si>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</si>
  <si>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</si>
  <si>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</si>
  <si>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</si>
  <si>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</si>
  <si>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</si>
  <si>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</si>
  <si>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</si>
  <si>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</si>
  <si>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</si>
  <si>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</si>
  <si>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</si>
  <si>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</si>
  <si>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</si>
  <si>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</si>
  <si>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</si>
  <si>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</si>
  <si>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</si>
  <si>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</si>
  <si>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</si>
  <si>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</si>
  <si>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</si>
  <si>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</si>
  <si>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</si>
  <si>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</si>
  <si>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</si>
  <si>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</si>
  <si>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</si>
  <si>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</si>
  <si>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</si>
  <si>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</si>
  <si>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</si>
  <si>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</si>
  <si>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</si>
  <si>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</si>
  <si>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</si>
  <si>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</si>
  <si>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</si>
  <si>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</si>
  <si>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</si>
  <si>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</si>
  <si>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</si>
  <si>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</si>
  <si>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</si>
  <si>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</si>
  <si>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</si>
  <si>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</si>
  <si>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</si>
  <si>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</si>
  <si>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</si>
  <si>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</si>
  <si>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</si>
  <si>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</si>
  <si>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</si>
  <si>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</si>
  <si>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</si>
  <si>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</si>
  <si>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</si>
  <si>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</si>
  <si>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</si>
  <si>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</si>
  <si>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</si>
  <si>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</si>
  <si>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</si>
  <si>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</si>
  <si>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</si>
  <si>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</si>
  <si>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</si>
  <si>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</si>
  <si>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</si>
  <si>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</si>
  <si>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</si>
  <si>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</si>
  <si>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</si>
  <si>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</si>
  <si>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</si>
  <si>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</si>
  <si>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</si>
  <si>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</si>
  <si>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</si>
  <si>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</si>
  <si>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</si>
  <si>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</si>
  <si>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</si>
  <si>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</si>
  <si>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</si>
  <si>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</si>
  <si>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</si>
  <si>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</si>
  <si>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</si>
  <si>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</si>
  <si>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</si>
  <si>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</si>
  <si>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</si>
  <si>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</si>
  <si>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</si>
  <si>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</si>
  <si>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</si>
  <si>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</si>
  <si>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</si>
  <si>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</si>
  <si>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</si>
  <si>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</si>
  <si>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</si>
  <si>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</si>
  <si>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</si>
  <si>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</si>
  <si>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</si>
  <si>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</si>
  <si>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</si>
  <si>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</si>
  <si>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</si>
  <si>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</si>
  <si>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</si>
  <si>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</si>
  <si>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</si>
  <si>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</si>
  <si>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</si>
  <si>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</si>
  <si>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</si>
  <si>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</si>
  <si>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</si>
  <si>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</si>
  <si>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</si>
  <si>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</si>
  <si>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</si>
  <si>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</si>
  <si>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</si>
  <si>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</si>
  <si>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</si>
  <si>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</si>
  <si>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</si>
  <si>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</si>
  <si>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</si>
  <si>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</si>
  <si>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</si>
  <si>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</si>
  <si>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</si>
  <si>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</si>
  <si>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</si>
  <si>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</si>
  <si>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</si>
  <si>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</si>
  <si>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</si>
  <si>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</si>
  <si>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</si>
  <si>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</si>
  <si>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</si>
  <si>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</si>
  <si>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</si>
  <si>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</si>
  <si>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</si>
  <si>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</si>
  <si>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</si>
  <si>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</si>
  <si>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</si>
  <si>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</si>
  <si>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</si>
  <si>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</si>
  <si>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</si>
  <si>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</si>
  <si>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</si>
  <si>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</si>
  <si>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</si>
  <si>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</si>
  <si>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</si>
  <si>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</si>
  <si>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</si>
  <si>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</si>
  <si>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</si>
  <si>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</si>
  <si>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</si>
  <si>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</si>
  <si>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</si>
  <si>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</si>
  <si>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</si>
  <si>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</si>
  <si>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</si>
  <si>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</si>
  <si>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</si>
  <si>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</si>
  <si>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</si>
  <si>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</si>
  <si>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</si>
  <si>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</si>
  <si>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</si>
  <si>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</si>
  <si>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</si>
  <si>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</si>
  <si>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</si>
  <si>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</si>
  <si>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</si>
  <si>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</si>
  <si>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</si>
  <si>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</si>
  <si>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</si>
  <si>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</si>
  <si>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</si>
  <si>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</si>
  <si>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</si>
  <si>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</si>
  <si>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</si>
  <si>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</si>
  <si>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</si>
  <si>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</si>
  <si>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</si>
  <si>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</si>
  <si>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</si>
  <si>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</si>
  <si>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</si>
  <si>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</si>
  <si>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</si>
  <si>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</si>
  <si>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</si>
  <si>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</si>
  <si>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</si>
  <si>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</si>
  <si>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</si>
  <si>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</si>
  <si>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</si>
  <si>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</si>
  <si>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</si>
  <si>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</si>
  <si>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</si>
  <si>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</si>
  <si>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</si>
  <si>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</si>
  <si>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</si>
  <si>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</si>
  <si>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</si>
  <si>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</si>
  <si>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</si>
  <si>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</si>
  <si>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</si>
  <si>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</si>
  <si>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</si>
  <si>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</si>
  <si>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</si>
  <si>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</si>
  <si>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</si>
  <si>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</si>
  <si>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</si>
  <si>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</si>
  <si>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</si>
  <si>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</si>
  <si>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</si>
  <si>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</si>
  <si>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</si>
  <si>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</si>
  <si>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</si>
  <si>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</si>
  <si>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</si>
  <si>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</si>
  <si>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</si>
  <si>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</si>
  <si>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</si>
  <si>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</si>
  <si>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</si>
  <si>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</si>
  <si>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</si>
  <si>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</si>
  <si>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</si>
  <si>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</si>
  <si>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</si>
  <si>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</si>
  <si>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</si>
  <si>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</si>
  <si>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</si>
  <si>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</si>
  <si>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</si>
  <si>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</si>
  <si>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</si>
  <si>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</si>
  <si>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</si>
  <si>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</si>
  <si>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</si>
  <si>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</si>
  <si>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</si>
  <si>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</si>
  <si>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</si>
  <si>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</si>
  <si>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</si>
  <si>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</si>
  <si>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</si>
  <si>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</si>
  <si>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</si>
  <si>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</si>
  <si>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</si>
  <si>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</si>
  <si>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</si>
  <si>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</si>
  <si>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</si>
  <si>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</si>
  <si>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</si>
  <si>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</si>
  <si>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</si>
  <si>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</si>
  <si>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</si>
  <si>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</si>
  <si>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</si>
  <si>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</si>
  <si>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</si>
  <si>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</si>
  <si>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</si>
  <si>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</si>
  <si>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</si>
  <si>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</si>
  <si>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</si>
  <si>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</si>
  <si>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</si>
  <si>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</si>
  <si>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</si>
  <si>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</si>
  <si>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</si>
  <si>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</si>
  <si>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</si>
  <si>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</si>
  <si>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</si>
  <si>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</si>
  <si>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</si>
  <si>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</si>
  <si>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</si>
  <si>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</si>
  <si>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</si>
  <si>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</si>
  <si>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</si>
  <si>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</si>
  <si>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</si>
  <si>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</si>
  <si>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</si>
  <si>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</si>
  <si>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</si>
  <si>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</si>
  <si>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</si>
  <si>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</si>
  <si>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</si>
  <si>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</si>
  <si>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</si>
  <si>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</si>
  <si>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</si>
  <si>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</si>
  <si>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</si>
  <si>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</si>
  <si>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</si>
  <si>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</si>
  <si>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</si>
  <si>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</si>
  <si>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</si>
  <si>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</si>
  <si>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</si>
  <si>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</si>
  <si>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</si>
  <si>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</si>
  <si>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</si>
  <si>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</si>
  <si>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</si>
  <si>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</si>
  <si>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</si>
  <si>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</si>
  <si>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</si>
  <si>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</si>
  <si>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</si>
  <si>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</si>
  <si>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</si>
  <si>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</si>
  <si>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</si>
  <si>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</si>
  <si>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</si>
  <si>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</si>
  <si>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</si>
  <si>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</si>
  <si>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</si>
  <si>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</si>
  <si>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</si>
  <si>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</si>
  <si>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</si>
  <si>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</si>
  <si>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</si>
  <si>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</si>
  <si>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</si>
  <si>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</si>
  <si>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</si>
  <si>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</si>
  <si>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</si>
  <si>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</si>
  <si>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</si>
  <si>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</si>
  <si>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</si>
  <si>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</si>
  <si>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</si>
  <si>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</si>
  <si>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</si>
  <si>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</si>
  <si>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</si>
  <si>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</si>
  <si>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</si>
  <si>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</si>
  <si>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</si>
  <si>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</si>
  <si>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</si>
  <si>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</si>
  <si>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</si>
  <si>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</si>
  <si>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</si>
  <si>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</si>
  <si>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</si>
  <si>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</si>
  <si>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</si>
  <si>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</si>
  <si>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</si>
  <si>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</si>
  <si>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</si>
  <si>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</si>
  <si>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</si>
  <si>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</si>
  <si>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</si>
  <si>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</si>
  <si>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</si>
  <si>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</si>
  <si>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</si>
  <si>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</si>
  <si>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</si>
  <si>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</si>
  <si>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</si>
  <si>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</si>
  <si>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</si>
  <si>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</si>
  <si>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</si>
  <si>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</si>
  <si>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</si>
  <si>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</si>
  <si>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</si>
  <si>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</si>
  <si>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</si>
  <si>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</si>
  <si>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</si>
  <si>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</si>
  <si>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</si>
  <si>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</si>
  <si>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</si>
  <si>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</si>
  <si>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</si>
  <si>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</si>
  <si>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</si>
  <si>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</si>
  <si>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</si>
  <si>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</si>
  <si>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</si>
  <si>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</si>
  <si>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</si>
  <si>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</si>
  <si>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</si>
  <si>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</si>
  <si>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</si>
  <si>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</si>
  <si>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</si>
  <si>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</si>
  <si>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</si>
  <si>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</si>
  <si>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</si>
  <si>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</si>
  <si>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</si>
  <si>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</si>
  <si>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</si>
  <si>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</si>
  <si>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</si>
  <si>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</si>
  <si>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</si>
  <si>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</si>
  <si>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</si>
  <si>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</si>
  <si>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</si>
  <si>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</si>
  <si>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</si>
  <si>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</si>
  <si>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</si>
  <si>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</si>
  <si>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</si>
  <si>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</si>
  <si>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</si>
  <si>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</si>
  <si>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</si>
  <si>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</si>
  <si>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</si>
  <si>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</si>
  <si>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</si>
  <si>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</si>
  <si>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</si>
  <si>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</si>
  <si>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</si>
  <si>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</si>
  <si>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</si>
  <si>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</si>
  <si>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</si>
  <si>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</si>
  <si>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</si>
  <si>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</si>
  <si>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</si>
  <si>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</si>
  <si>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</si>
  <si>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</si>
  <si>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</si>
  <si>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</si>
  <si>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</si>
  <si>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</si>
  <si>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</si>
  <si>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</si>
  <si>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</si>
  <si>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</si>
  <si>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</si>
  <si>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</si>
  <si>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</si>
  <si>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</si>
  <si>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</si>
  <si>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</si>
  <si>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</si>
  <si>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</si>
  <si>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</si>
  <si>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</si>
  <si>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</si>
  <si>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</si>
  <si>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</si>
  <si>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</si>
  <si>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</si>
  <si>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</si>
  <si>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</si>
  <si>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</si>
  <si>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</si>
  <si>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</si>
  <si>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</si>
  <si>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</si>
  <si>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</si>
  <si>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</si>
  <si>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</si>
  <si>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</si>
  <si>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</si>
  <si>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</si>
  <si>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</si>
  <si>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</si>
  <si>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</si>
  <si>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</si>
  <si>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</si>
  <si>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</si>
  <si>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</si>
  <si>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</si>
  <si>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</si>
  <si>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</si>
  <si>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</si>
  <si>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</si>
  <si>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</si>
  <si>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</si>
  <si>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</si>
  <si>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</si>
  <si>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</si>
  <si>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</si>
  <si>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</si>
  <si>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</si>
  <si>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</si>
  <si>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</si>
  <si>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</si>
  <si>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</si>
  <si>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</si>
  <si>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</si>
  <si>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</si>
  <si>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</si>
  <si>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</si>
  <si>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</si>
  <si>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</si>
  <si>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</si>
  <si>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</si>
  <si>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</si>
  <si>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</si>
  <si>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</si>
  <si>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</si>
  <si>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</si>
  <si>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</si>
  <si>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</si>
  <si>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</si>
  <si>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</si>
  <si>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</si>
  <si>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</si>
  <si>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</si>
  <si>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</si>
  <si>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</si>
  <si>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</si>
  <si>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</si>
  <si>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</si>
  <si>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</si>
  <si>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</si>
  <si>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</si>
  <si>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</si>
  <si>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</si>
  <si>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</si>
  <si>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</si>
  <si>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</si>
  <si>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</si>
  <si>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</si>
  <si>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</si>
  <si>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</si>
  <si>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</si>
  <si>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</si>
  <si>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</si>
  <si>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</si>
  <si>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</si>
  <si>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</si>
  <si>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</si>
  <si>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</si>
  <si>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</si>
  <si>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</si>
  <si>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</si>
  <si>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</si>
  <si>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</si>
  <si>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</si>
  <si>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</si>
  <si>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</si>
  <si>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</si>
  <si>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</si>
  <si>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</si>
  <si>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</si>
  <si>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</si>
  <si>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</si>
  <si>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</si>
  <si>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</si>
  <si>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</si>
  <si>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</si>
  <si>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</si>
  <si>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</si>
  <si>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</si>
  <si>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</si>
  <si>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</si>
  <si>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</si>
  <si>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</si>
  <si>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</si>
  <si>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</si>
  <si>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</si>
  <si>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</si>
  <si>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</si>
  <si>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</si>
  <si>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</si>
  <si>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</si>
  <si>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</si>
  <si>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</si>
  <si>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</si>
  <si>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</si>
  <si>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</si>
  <si>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</si>
  <si>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</si>
  <si>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</si>
  <si>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</si>
  <si>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</si>
  <si>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</si>
  <si>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</si>
  <si>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</si>
  <si>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</si>
  <si>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</si>
  <si>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</si>
  <si>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</si>
  <si>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</si>
  <si>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</si>
  <si>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</si>
  <si>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</si>
  <si>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</si>
  <si>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</si>
  <si>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</si>
  <si>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</si>
  <si>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</si>
  <si>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</si>
  <si>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</si>
  <si>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</si>
  <si>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</si>
  <si>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</si>
  <si>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</si>
  <si>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</si>
  <si>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</si>
  <si>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</si>
  <si>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</si>
  <si>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</si>
  <si>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</si>
  <si>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</si>
  <si>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</si>
  <si>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</si>
  <si>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</si>
  <si>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</si>
  <si>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</si>
  <si>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</si>
  <si>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</si>
  <si>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</si>
  <si>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</si>
  <si>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</si>
  <si>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</si>
  <si>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</si>
  <si>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</si>
  <si>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</si>
  <si>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</si>
  <si>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</si>
  <si>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</si>
  <si>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</si>
  <si>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</si>
  <si>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</si>
  <si>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</si>
  <si>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</si>
  <si>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</si>
  <si>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</si>
  <si>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</si>
  <si>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</si>
  <si>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</si>
  <si>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</si>
  <si>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</si>
  <si>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</si>
  <si>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</si>
  <si>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</si>
  <si>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</si>
  <si>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</si>
  <si>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</si>
  <si>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</si>
  <si>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</si>
  <si>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</si>
  <si>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</si>
  <si>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</si>
  <si>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</si>
  <si>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</si>
  <si>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</si>
  <si>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</si>
  <si>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</si>
  <si>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</si>
  <si>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</si>
  <si>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</si>
  <si>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</si>
  <si>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</si>
  <si>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</si>
  <si>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</si>
  <si>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</si>
  <si>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</si>
  <si>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</si>
  <si>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</si>
  <si>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</si>
  <si>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</si>
  <si>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</si>
  <si>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</si>
  <si>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</si>
  <si>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</si>
  <si>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</si>
  <si>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</si>
  <si>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</si>
  <si>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</si>
  <si>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</si>
  <si>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</si>
  <si>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</si>
  <si>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</si>
  <si>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</si>
  <si>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</si>
  <si>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</si>
  <si>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</si>
  <si>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</si>
  <si>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</si>
  <si>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</si>
  <si>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</si>
  <si>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</si>
  <si>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</si>
  <si>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</si>
  <si>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</si>
  <si>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</si>
  <si>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</si>
  <si>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</si>
  <si>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</si>
  <si>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</si>
  <si>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</si>
  <si>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</si>
  <si>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</si>
  <si>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</si>
  <si>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</si>
  <si>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</si>
  <si>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</si>
  <si>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</si>
  <si>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</si>
  <si>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</si>
  <si>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</si>
  <si>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</si>
  <si>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</si>
  <si>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</si>
  <si>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</si>
  <si>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</si>
  <si>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</si>
  <si>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</si>
  <si>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</si>
  <si>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</si>
  <si>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</si>
  <si>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</si>
  <si>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</si>
  <si>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</si>
  <si>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</si>
  <si>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</si>
  <si>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</si>
  <si>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</si>
  <si>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</si>
  <si>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</si>
  <si>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</si>
  <si>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</si>
  <si>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</si>
  <si>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</si>
  <si>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</si>
  <si>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</si>
  <si>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</si>
  <si>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</si>
  <si>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</si>
  <si>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</si>
  <si>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</si>
  <si>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</si>
  <si>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</si>
  <si>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</si>
  <si>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</si>
  <si>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</si>
  <si>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</si>
  <si>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</si>
  <si>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</si>
  <si>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</si>
  <si>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</si>
  <si>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</si>
  <si>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</si>
  <si>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</si>
  <si>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</si>
  <si>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</si>
  <si>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</si>
  <si>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</si>
  <si>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</si>
  <si>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</si>
  <si>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</si>
  <si>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</si>
  <si>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</si>
  <si>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</si>
  <si>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</si>
  <si>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</si>
  <si>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</si>
  <si>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</si>
  <si>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</si>
  <si>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</si>
  <si>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</si>
  <si>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</si>
  <si>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</si>
  <si>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</si>
  <si>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</si>
  <si>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</si>
  <si>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</si>
  <si>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</si>
  <si>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</si>
  <si>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</si>
  <si>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</si>
  <si>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</si>
  <si>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</si>
  <si>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</si>
  <si>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</si>
  <si>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</si>
  <si>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</si>
  <si>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</si>
  <si>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</si>
  <si>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</si>
  <si>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</si>
  <si>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</si>
  <si>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</si>
  <si>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</si>
  <si>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</si>
  <si>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</si>
  <si>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</si>
  <si>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</si>
  <si>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</si>
  <si>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</si>
  <si>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</si>
  <si>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</si>
  <si>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</si>
  <si>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</si>
  <si>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</si>
  <si>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</si>
  <si>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</si>
  <si>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</si>
  <si>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</si>
  <si>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</si>
  <si>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</si>
  <si>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</si>
  <si>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</si>
  <si>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</si>
  <si>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</si>
  <si>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</si>
  <si>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</si>
  <si>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</si>
  <si>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</si>
  <si>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</si>
  <si>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</si>
  <si>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</si>
  <si>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</si>
  <si>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</si>
  <si>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</si>
  <si>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</si>
  <si>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</si>
  <si>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</si>
  <si>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</si>
  <si>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</si>
  <si>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</si>
  <si>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</si>
  <si>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</si>
  <si>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</si>
  <si>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</si>
  <si>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</si>
  <si>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</si>
  <si>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</si>
  <si>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</si>
  <si>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</si>
  <si>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</si>
  <si>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</si>
  <si>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</si>
  <si>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</si>
  <si>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</si>
  <si>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</si>
  <si>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</si>
  <si>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</si>
  <si>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</si>
  <si>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</si>
  <si>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</si>
  <si>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</si>
  <si>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</si>
  <si>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</si>
  <si>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</si>
  <si>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</si>
  <si>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</si>
  <si>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</si>
  <si>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</si>
  <si>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</si>
  <si>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</si>
  <si>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</si>
  <si>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</si>
  <si>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</si>
  <si>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</si>
  <si>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</si>
  <si>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</si>
  <si>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</si>
  <si>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</si>
  <si>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</si>
  <si>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</si>
  <si>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</si>
  <si>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</si>
  <si>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</si>
  <si>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</si>
  <si>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</si>
  <si>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</si>
  <si>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</si>
  <si>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</si>
  <si>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</si>
  <si>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</si>
  <si>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</si>
  <si>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</si>
  <si>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</si>
  <si>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</si>
  <si>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</si>
  <si>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</si>
  <si>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</si>
  <si>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</si>
  <si>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</si>
  <si>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</si>
  <si>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</si>
  <si>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</si>
  <si>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</si>
  <si>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</si>
  <si>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</si>
  <si>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</si>
  <si>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</si>
  <si>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</si>
  <si>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</si>
  <si>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</si>
  <si>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</si>
  <si>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</si>
  <si>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</si>
  <si>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</si>
  <si>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</si>
  <si>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</si>
  <si>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</si>
  <si>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</si>
  <si>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</si>
  <si>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</si>
  <si>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</si>
  <si>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</si>
  <si>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</si>
  <si>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</si>
  <si>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</si>
  <si>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</si>
  <si>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</si>
  <si>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</si>
  <si>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</si>
  <si>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</si>
  <si>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</si>
  <si>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</si>
  <si>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</si>
  <si>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</si>
  <si>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</si>
  <si>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</si>
  <si>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</si>
  <si>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</si>
  <si>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</si>
  <si>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</si>
  <si>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</si>
  <si>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</si>
  <si>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</si>
  <si>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</si>
  <si>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</si>
  <si>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</si>
  <si>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</si>
  <si>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</si>
  <si>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</si>
  <si>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</si>
  <si>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</si>
  <si>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</si>
  <si>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</si>
  <si>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</si>
  <si>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</si>
  <si>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</si>
  <si>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</si>
  <si>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</si>
  <si>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</si>
  <si>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</si>
  <si>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</si>
  <si>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</si>
  <si>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</si>
  <si>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</si>
  <si>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</si>
  <si>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</si>
  <si>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</si>
  <si>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</si>
  <si>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</si>
  <si>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</si>
  <si>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</si>
  <si>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</si>
  <si>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</si>
  <si>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</si>
  <si>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</si>
  <si>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</si>
  <si>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</si>
  <si>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</si>
  <si>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</si>
  <si>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</si>
  <si>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</si>
  <si>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</si>
  <si>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</si>
  <si>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</si>
  <si>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</si>
  <si>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</si>
  <si>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</si>
  <si>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</si>
  <si>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</si>
  <si>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</si>
  <si>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</si>
  <si>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</si>
  <si>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</si>
  <si>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</si>
  <si>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</si>
  <si>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</si>
  <si>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</si>
  <si>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</si>
  <si>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</si>
  <si>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</si>
  <si>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</si>
  <si>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</si>
  <si>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</si>
  <si>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</si>
  <si>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</si>
  <si>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</si>
  <si>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</si>
  <si>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</si>
  <si>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</si>
  <si>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</si>
  <si>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</si>
  <si>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</si>
  <si>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</si>
  <si>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</si>
  <si>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</si>
  <si>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</si>
  <si>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</si>
  <si>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</si>
  <si>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</si>
  <si>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</si>
  <si>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</si>
  <si>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</si>
  <si>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</si>
  <si>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</si>
  <si>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</si>
  <si>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</si>
  <si>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</si>
  <si>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</si>
  <si>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</si>
  <si>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</si>
  <si>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</si>
  <si>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</si>
  <si>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</si>
  <si>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</si>
  <si>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</si>
  <si>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</si>
  <si>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</si>
  <si>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</si>
  <si>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</si>
  <si>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</si>
  <si>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</si>
  <si>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</si>
  <si>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</si>
  <si>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</si>
  <si>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</si>
  <si>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</si>
  <si>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</si>
  <si>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</si>
  <si>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</si>
  <si>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</si>
  <si>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</si>
  <si>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</si>
  <si>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</si>
  <si>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</si>
  <si>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</si>
  <si>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</si>
  <si>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</si>
  <si>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</si>
  <si>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</si>
  <si>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</si>
  <si>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</si>
  <si>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</si>
  <si>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</si>
  <si>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</si>
  <si>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</si>
  <si>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</si>
  <si>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</si>
  <si>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</si>
  <si>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</si>
  <si>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</si>
  <si>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</si>
  <si>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</si>
  <si>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</si>
  <si>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</si>
  <si>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</si>
  <si>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</si>
  <si>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</si>
  <si>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</si>
  <si>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</si>
  <si>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</si>
  <si>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</si>
  <si>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</si>
  <si>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</si>
  <si>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</si>
  <si>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</si>
  <si>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</si>
  <si>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</si>
  <si>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</si>
  <si>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</si>
  <si>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</si>
  <si>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</si>
  <si>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</si>
  <si>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</si>
  <si>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</si>
  <si>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</si>
  <si>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</si>
  <si>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</si>
  <si>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</si>
  <si>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</si>
  <si>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</si>
  <si>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</si>
  <si>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</si>
  <si>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</si>
  <si>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</si>
  <si>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</si>
  <si>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</si>
  <si>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</si>
  <si>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</si>
  <si>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</si>
  <si>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</si>
  <si>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</si>
  <si>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</si>
  <si>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</si>
  <si>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</si>
  <si>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</si>
  <si>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</si>
  <si>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</si>
  <si>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</si>
  <si>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</si>
  <si>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</si>
  <si>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</si>
  <si>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</si>
  <si>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</si>
  <si>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</si>
  <si>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</si>
  <si>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</si>
  <si>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</si>
  <si>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</si>
  <si>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</si>
  <si>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</si>
  <si>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</si>
  <si>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</si>
  <si>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</si>
  <si>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</si>
  <si>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</si>
  <si>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</si>
  <si>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</si>
  <si>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</si>
  <si>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</si>
  <si>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</si>
  <si>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</si>
  <si>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</si>
  <si>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</si>
  <si>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</si>
  <si>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</si>
  <si>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</si>
  <si>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</si>
  <si>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</si>
  <si>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</si>
  <si>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</si>
  <si>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</si>
  <si>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</si>
  <si>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</si>
  <si>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</si>
  <si>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</si>
  <si>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</si>
  <si>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</si>
  <si>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</si>
  <si>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</si>
  <si>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</si>
  <si>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</si>
  <si>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</si>
  <si>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</si>
  <si>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</si>
  <si>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</si>
  <si>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</si>
  <si>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</si>
  <si>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</si>
  <si>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</si>
  <si>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</si>
  <si>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</si>
  <si>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</si>
  <si>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</si>
  <si>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</si>
  <si>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</si>
  <si>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</si>
  <si>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</si>
  <si>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</si>
  <si>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</si>
  <si>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</si>
  <si>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</si>
  <si>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</si>
  <si>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</si>
  <si>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</si>
  <si>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</si>
  <si>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</si>
  <si>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</si>
  <si>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</si>
  <si>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</si>
  <si>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</si>
  <si>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</si>
  <si>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</si>
  <si>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</si>
  <si>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</si>
  <si>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</si>
  <si>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</si>
  <si>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</si>
  <si>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</si>
  <si>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</si>
  <si>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</si>
  <si>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</si>
  <si>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</si>
  <si>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</si>
  <si>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</si>
  <si>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</si>
  <si>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</si>
  <si>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</si>
  <si>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</si>
  <si>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</si>
  <si>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</si>
  <si>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</si>
  <si>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</si>
  <si>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</si>
  <si>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</si>
  <si>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</si>
  <si>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</si>
  <si>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</si>
  <si>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</si>
  <si>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</si>
  <si>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</si>
  <si>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</si>
  <si>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</si>
  <si>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</si>
  <si>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</si>
  <si>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</si>
  <si>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</si>
  <si>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</si>
  <si>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</si>
  <si>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</si>
  <si>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</si>
  <si>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</si>
  <si>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</si>
  <si>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</si>
  <si>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</si>
  <si>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</si>
  <si>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</si>
  <si>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</si>
  <si>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</si>
  <si>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</si>
  <si>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</si>
  <si>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</si>
  <si>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</si>
  <si>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</si>
  <si>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</si>
  <si>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</si>
  <si>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</si>
  <si>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</si>
  <si>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</si>
  <si>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</si>
  <si>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</si>
  <si>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</si>
  <si>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</si>
  <si>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</si>
  <si>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</si>
  <si>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</si>
  <si>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</si>
  <si>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</si>
  <si>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</si>
  <si>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</si>
  <si>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</si>
  <si>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</si>
  <si>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</si>
  <si>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</si>
  <si>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</si>
  <si>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</si>
  <si>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</si>
  <si>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</si>
  <si>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</si>
  <si>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</si>
  <si>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</si>
  <si>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</si>
  <si>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</si>
  <si>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</si>
  <si>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</si>
  <si>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</si>
  <si>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</si>
  <si>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</si>
  <si>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</si>
  <si>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</si>
  <si>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</si>
  <si>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</si>
  <si>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</si>
  <si>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</si>
  <si>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</si>
  <si>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</si>
  <si>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</si>
  <si>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</si>
  <si>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</si>
  <si>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</si>
  <si>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</si>
  <si>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</si>
  <si>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</si>
  <si>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</si>
  <si>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</si>
  <si>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</si>
  <si>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</si>
  <si>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</si>
  <si>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</si>
  <si>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</si>
  <si>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</si>
  <si>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</si>
  <si>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</si>
  <si>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</si>
  <si>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</si>
  <si>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</si>
  <si>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</si>
  <si>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</si>
  <si>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</si>
  <si>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</si>
  <si>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</si>
  <si>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</si>
  <si>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</si>
  <si>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</si>
  <si>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</si>
  <si>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</si>
  <si>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</si>
  <si>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</si>
  <si>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</si>
  <si>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</si>
  <si>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</si>
  <si>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</si>
  <si>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</si>
  <si>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</si>
  <si>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</si>
  <si>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</si>
  <si>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</si>
  <si>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</si>
  <si>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</si>
  <si>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</si>
  <si>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</si>
  <si>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</si>
  <si>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</si>
  <si>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</si>
  <si>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</si>
  <si>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</si>
  <si>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</si>
  <si>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</si>
  <si>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</si>
  <si>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</si>
  <si>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</si>
  <si>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</si>
  <si>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</si>
  <si>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</si>
  <si>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</si>
  <si>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</si>
  <si>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</si>
  <si>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</si>
  <si>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</si>
  <si>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</si>
  <si>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</si>
  <si>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</si>
  <si>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</si>
  <si>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</si>
  <si>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</si>
  <si>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</si>
  <si>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</si>
  <si>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</si>
  <si>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</si>
  <si>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</si>
  <si>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</si>
  <si>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</si>
  <si>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</si>
  <si>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</si>
  <si>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</si>
  <si>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</si>
  <si>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</si>
  <si>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</si>
  <si>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</si>
  <si>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</si>
  <si>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</si>
  <si>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</si>
  <si>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</si>
  <si>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</si>
  <si>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</si>
  <si>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</si>
  <si>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</si>
  <si>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</si>
  <si>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</si>
  <si>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</si>
  <si>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</si>
  <si>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</si>
  <si>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</si>
  <si>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</si>
  <si>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</si>
  <si>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</si>
  <si>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</si>
  <si>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</si>
  <si>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</si>
  <si>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</si>
  <si>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</si>
  <si>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</si>
  <si>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</si>
  <si>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</si>
  <si>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</si>
  <si>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</si>
  <si>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</si>
  <si>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</si>
  <si>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</si>
  <si>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</si>
  <si>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</si>
  <si>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</si>
  <si>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</si>
  <si>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</si>
  <si>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</si>
  <si>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</si>
  <si>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</si>
  <si>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</si>
  <si>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</si>
  <si>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</si>
  <si>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</si>
  <si>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</si>
  <si>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</si>
  <si>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</si>
  <si>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</si>
  <si>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</si>
  <si>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</si>
  <si>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</si>
  <si>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</si>
  <si>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</si>
  <si>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</si>
  <si>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</si>
  <si>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</si>
  <si>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</si>
  <si>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</si>
  <si>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</si>
  <si>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</si>
  <si>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</si>
  <si>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</si>
  <si>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</si>
  <si>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</si>
  <si>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</si>
  <si>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</si>
  <si>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</si>
  <si>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</si>
  <si>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</si>
  <si>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</si>
  <si>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</si>
  <si>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</si>
  <si>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</si>
  <si>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</si>
  <si>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</si>
  <si>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</si>
  <si>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</si>
  <si>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</si>
  <si>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</si>
  <si>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</si>
  <si>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</si>
  <si>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</si>
  <si>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</si>
  <si>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</si>
  <si>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</si>
  <si>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</si>
  <si>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</si>
  <si>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</si>
  <si>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</si>
  <si>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</si>
  <si>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</si>
  <si>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</si>
  <si>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</si>
  <si>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</si>
  <si>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</si>
  <si>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</si>
  <si>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</si>
  <si>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</si>
  <si>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</si>
  <si>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</si>
  <si>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</si>
  <si>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</si>
  <si>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</si>
  <si>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</si>
  <si>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</si>
  <si>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</si>
  <si>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</si>
  <si>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</si>
  <si>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</si>
  <si>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</si>
  <si>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</si>
  <si>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</si>
  <si>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</si>
  <si>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</si>
  <si>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</si>
  <si>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</si>
  <si>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</si>
  <si>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</si>
  <si>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</si>
  <si>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</si>
  <si>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</si>
  <si>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</si>
  <si>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</si>
  <si>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</si>
  <si>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</si>
  <si>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</si>
  <si>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</si>
  <si>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</si>
  <si>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</si>
  <si>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</si>
  <si>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</si>
  <si>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</si>
  <si>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</si>
  <si>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</si>
  <si>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</si>
  <si>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</si>
  <si>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</si>
  <si>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</si>
  <si>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</si>
  <si>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</si>
  <si>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</si>
  <si>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</si>
  <si>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</si>
  <si>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</si>
  <si>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</si>
  <si>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</si>
  <si>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</si>
  <si>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r>
      <t>1</t>
    </r>
    <r>
      <rPr>
        <sz val="11"/>
        <color theme="1"/>
        <rFont val="宋体"/>
        <family val="3"/>
        <charset val="134"/>
        <scheme val="minor"/>
      </rPr>
      <t>5号院5号楼5-1-4等47套住宅、13号院10幢-1-1006等1147个地下车位</t>
    </r>
    <phoneticPr fontId="135" type="noConversion"/>
  </si>
  <si>
    <r>
      <t>4</t>
    </r>
    <r>
      <rPr>
        <sz val="11"/>
        <color theme="1"/>
        <rFont val="宋体"/>
        <family val="3"/>
        <charset val="134"/>
        <scheme val="minor"/>
      </rPr>
      <t>7套住宅</t>
    </r>
    <phoneticPr fontId="135" type="noConversion"/>
  </si>
  <si>
    <t>万元</t>
    <phoneticPr fontId="135" type="noConversion"/>
  </si>
  <si>
    <t>土地</t>
    <phoneticPr fontId="135" type="noConversion"/>
  </si>
  <si>
    <t>建设成本</t>
    <phoneticPr fontId="135" type="noConversion"/>
  </si>
  <si>
    <r>
      <t>1</t>
    </r>
    <r>
      <rPr>
        <sz val="11"/>
        <color theme="1"/>
        <rFont val="宋体"/>
        <family val="3"/>
        <charset val="134"/>
        <scheme val="minor"/>
      </rPr>
      <t>147个车位</t>
    </r>
    <phoneticPr fontId="135" type="noConversion"/>
  </si>
  <si>
    <r>
      <t>6</t>
    </r>
    <r>
      <rPr>
        <sz val="11"/>
        <color theme="1"/>
        <rFont val="宋体"/>
        <family val="3"/>
        <charset val="134"/>
        <scheme val="minor"/>
      </rPr>
      <t>-1-1</t>
    </r>
    <phoneticPr fontId="135" type="noConversion"/>
  </si>
  <si>
    <r>
      <t>6</t>
    </r>
    <r>
      <rPr>
        <sz val="11"/>
        <color theme="1"/>
        <rFont val="宋体"/>
        <family val="3"/>
        <charset val="134"/>
        <scheme val="minor"/>
      </rPr>
      <t>-1-2</t>
    </r>
    <phoneticPr fontId="135" type="noConversion"/>
  </si>
  <si>
    <r>
      <t>6</t>
    </r>
    <r>
      <rPr>
        <sz val="11"/>
        <color theme="1"/>
        <rFont val="宋体"/>
        <family val="3"/>
        <charset val="134"/>
        <scheme val="minor"/>
      </rPr>
      <t>-1-3</t>
    </r>
    <phoneticPr fontId="135" type="noConversion"/>
  </si>
  <si>
    <r>
      <t>6</t>
    </r>
    <r>
      <rPr>
        <sz val="11"/>
        <color theme="1"/>
        <rFont val="宋体"/>
        <family val="3"/>
        <charset val="134"/>
        <scheme val="minor"/>
      </rPr>
      <t>-1-4</t>
    </r>
    <phoneticPr fontId="135" type="noConversion"/>
  </si>
  <si>
    <t>6-2-1</t>
    <phoneticPr fontId="135" type="noConversion"/>
  </si>
  <si>
    <r>
      <t>6</t>
    </r>
    <r>
      <rPr>
        <sz val="11"/>
        <color theme="1"/>
        <rFont val="宋体"/>
        <family val="3"/>
        <charset val="134"/>
        <scheme val="minor"/>
      </rPr>
      <t>-2-2</t>
    </r>
    <phoneticPr fontId="135" type="noConversion"/>
  </si>
  <si>
    <r>
      <t>6</t>
    </r>
    <r>
      <rPr>
        <sz val="11"/>
        <color theme="1"/>
        <rFont val="宋体"/>
        <family val="3"/>
        <charset val="134"/>
        <scheme val="minor"/>
      </rPr>
      <t>-2-3</t>
    </r>
    <phoneticPr fontId="135" type="noConversion"/>
  </si>
  <si>
    <r>
      <t>6</t>
    </r>
    <r>
      <rPr>
        <sz val="11"/>
        <color theme="1"/>
        <rFont val="宋体"/>
        <family val="3"/>
        <charset val="134"/>
        <scheme val="minor"/>
      </rPr>
      <t>-3-3</t>
    </r>
    <phoneticPr fontId="135" type="noConversion"/>
  </si>
  <si>
    <t>6-2-4</t>
    <phoneticPr fontId="135" type="noConversion"/>
  </si>
  <si>
    <r>
      <t>6</t>
    </r>
    <r>
      <rPr>
        <sz val="11"/>
        <color theme="1"/>
        <rFont val="宋体"/>
        <family val="3"/>
        <charset val="134"/>
        <scheme val="minor"/>
      </rPr>
      <t>-3-1</t>
    </r>
    <phoneticPr fontId="135" type="noConversion"/>
  </si>
  <si>
    <r>
      <t>1</t>
    </r>
    <r>
      <rPr>
        <sz val="11"/>
        <color theme="1"/>
        <rFont val="宋体"/>
        <family val="3"/>
        <charset val="134"/>
        <scheme val="minor"/>
      </rPr>
      <t>5-2-2</t>
    </r>
    <phoneticPr fontId="135" type="noConversion"/>
  </si>
  <si>
    <r>
      <t>1</t>
    </r>
    <r>
      <rPr>
        <sz val="11"/>
        <color theme="1"/>
        <rFont val="宋体"/>
        <family val="3"/>
        <charset val="134"/>
        <scheme val="minor"/>
      </rPr>
      <t>5-2-3</t>
    </r>
    <phoneticPr fontId="135" type="noConversion"/>
  </si>
  <si>
    <r>
      <t>1</t>
    </r>
    <r>
      <rPr>
        <sz val="11"/>
        <color theme="1"/>
        <rFont val="宋体"/>
        <family val="3"/>
        <charset val="134"/>
        <scheme val="minor"/>
      </rPr>
      <t>5-3-3</t>
    </r>
    <phoneticPr fontId="135" type="noConversion"/>
  </si>
  <si>
    <r>
      <t>1</t>
    </r>
    <r>
      <rPr>
        <sz val="11"/>
        <color theme="1"/>
        <rFont val="宋体"/>
        <family val="3"/>
        <charset val="134"/>
        <scheme val="minor"/>
      </rPr>
      <t>7-1-4</t>
    </r>
    <phoneticPr fontId="135" type="noConversion"/>
  </si>
  <si>
    <r>
      <t>1</t>
    </r>
    <r>
      <rPr>
        <sz val="11"/>
        <color theme="1"/>
        <rFont val="宋体"/>
        <family val="3"/>
        <charset val="134"/>
        <scheme val="minor"/>
      </rPr>
      <t>7-2-1</t>
    </r>
    <phoneticPr fontId="135" type="noConversion"/>
  </si>
  <si>
    <r>
      <t>1</t>
    </r>
    <r>
      <rPr>
        <sz val="11"/>
        <color theme="1"/>
        <rFont val="宋体"/>
        <family val="3"/>
        <charset val="134"/>
        <scheme val="minor"/>
      </rPr>
      <t>7-2-3</t>
    </r>
    <phoneticPr fontId="135" type="noConversion"/>
  </si>
  <si>
    <r>
      <t>1</t>
    </r>
    <r>
      <rPr>
        <sz val="11"/>
        <color theme="1"/>
        <rFont val="宋体"/>
        <family val="3"/>
        <charset val="134"/>
        <scheme val="minor"/>
      </rPr>
      <t>7-2-4</t>
    </r>
    <phoneticPr fontId="135" type="noConversion"/>
  </si>
  <si>
    <r>
      <t>1</t>
    </r>
    <r>
      <rPr>
        <sz val="11"/>
        <color theme="1"/>
        <rFont val="宋体"/>
        <family val="3"/>
        <charset val="134"/>
        <scheme val="minor"/>
      </rPr>
      <t>7-3-1</t>
    </r>
    <phoneticPr fontId="135" type="noConversion"/>
  </si>
  <si>
    <r>
      <t>1</t>
    </r>
    <r>
      <rPr>
        <sz val="11"/>
        <color theme="1"/>
        <rFont val="宋体"/>
        <family val="3"/>
        <charset val="134"/>
        <scheme val="minor"/>
      </rPr>
      <t>6-3-3</t>
    </r>
    <phoneticPr fontId="135" type="noConversion"/>
  </si>
  <si>
    <r>
      <t>5</t>
    </r>
    <r>
      <rPr>
        <sz val="11"/>
        <color theme="1"/>
        <rFont val="宋体"/>
        <family val="3"/>
        <charset val="134"/>
        <scheme val="minor"/>
      </rPr>
      <t>-1-4</t>
    </r>
    <phoneticPr fontId="135" type="noConversion"/>
  </si>
  <si>
    <r>
      <t>5</t>
    </r>
    <r>
      <rPr>
        <sz val="11"/>
        <color theme="1"/>
        <rFont val="宋体"/>
        <family val="3"/>
        <charset val="134"/>
        <scheme val="minor"/>
      </rPr>
      <t>-2-2</t>
    </r>
    <phoneticPr fontId="135" type="noConversion"/>
  </si>
  <si>
    <r>
      <t>5</t>
    </r>
    <r>
      <rPr>
        <sz val="11"/>
        <color theme="1"/>
        <rFont val="宋体"/>
        <family val="3"/>
        <charset val="134"/>
        <scheme val="minor"/>
      </rPr>
      <t>-2-3</t>
    </r>
    <phoneticPr fontId="135" type="noConversion"/>
  </si>
  <si>
    <r>
      <t>5</t>
    </r>
    <r>
      <rPr>
        <sz val="11"/>
        <color theme="1"/>
        <rFont val="宋体"/>
        <family val="3"/>
        <charset val="134"/>
        <scheme val="minor"/>
      </rPr>
      <t>-2-4</t>
    </r>
    <phoneticPr fontId="135" type="noConversion"/>
  </si>
  <si>
    <t>16-2-2</t>
    <phoneticPr fontId="135" type="noConversion"/>
  </si>
  <si>
    <t>16-3-1</t>
    <phoneticPr fontId="135" type="noConversion"/>
  </si>
  <si>
    <r>
      <t>5</t>
    </r>
    <r>
      <rPr>
        <sz val="11"/>
        <color theme="1"/>
        <rFont val="宋体"/>
        <family val="3"/>
        <charset val="134"/>
        <scheme val="minor"/>
      </rPr>
      <t>-3-3</t>
    </r>
    <phoneticPr fontId="135" type="noConversion"/>
  </si>
  <si>
    <r>
      <t>9</t>
    </r>
    <r>
      <rPr>
        <sz val="11"/>
        <color theme="1"/>
        <rFont val="宋体"/>
        <family val="3"/>
        <charset val="134"/>
        <scheme val="minor"/>
      </rPr>
      <t>-1-2</t>
    </r>
    <phoneticPr fontId="135" type="noConversion"/>
  </si>
  <si>
    <r>
      <t>9</t>
    </r>
    <r>
      <rPr>
        <sz val="11"/>
        <color theme="1"/>
        <rFont val="宋体"/>
        <family val="3"/>
        <charset val="134"/>
        <scheme val="minor"/>
      </rPr>
      <t>-1-3</t>
    </r>
    <phoneticPr fontId="135" type="noConversion"/>
  </si>
  <si>
    <r>
      <t>9</t>
    </r>
    <r>
      <rPr>
        <sz val="11"/>
        <color theme="1"/>
        <rFont val="宋体"/>
        <family val="3"/>
        <charset val="134"/>
        <scheme val="minor"/>
      </rPr>
      <t>-1-4</t>
    </r>
    <phoneticPr fontId="135" type="noConversion"/>
  </si>
  <si>
    <r>
      <t>9</t>
    </r>
    <r>
      <rPr>
        <sz val="11"/>
        <color theme="1"/>
        <rFont val="宋体"/>
        <family val="3"/>
        <charset val="134"/>
        <scheme val="minor"/>
      </rPr>
      <t>-2-1</t>
    </r>
    <phoneticPr fontId="135" type="noConversion"/>
  </si>
  <si>
    <r>
      <t>9</t>
    </r>
    <r>
      <rPr>
        <sz val="11"/>
        <color theme="1"/>
        <rFont val="宋体"/>
        <family val="3"/>
        <charset val="134"/>
        <scheme val="minor"/>
      </rPr>
      <t>-2-2</t>
    </r>
    <phoneticPr fontId="135" type="noConversion"/>
  </si>
  <si>
    <r>
      <t>9</t>
    </r>
    <r>
      <rPr>
        <sz val="11"/>
        <color theme="1"/>
        <rFont val="宋体"/>
        <family val="3"/>
        <charset val="134"/>
        <scheme val="minor"/>
      </rPr>
      <t>-2-3</t>
    </r>
    <phoneticPr fontId="135" type="noConversion"/>
  </si>
  <si>
    <r>
      <t>9</t>
    </r>
    <r>
      <rPr>
        <sz val="11"/>
        <color theme="1"/>
        <rFont val="宋体"/>
        <family val="3"/>
        <charset val="134"/>
        <scheme val="minor"/>
      </rPr>
      <t>-2-4</t>
    </r>
    <phoneticPr fontId="135" type="noConversion"/>
  </si>
  <si>
    <r>
      <t>9</t>
    </r>
    <r>
      <rPr>
        <sz val="11"/>
        <color theme="1"/>
        <rFont val="宋体"/>
        <family val="3"/>
        <charset val="134"/>
        <scheme val="minor"/>
      </rPr>
      <t>-3-3</t>
    </r>
    <phoneticPr fontId="135" type="noConversion"/>
  </si>
  <si>
    <r>
      <t>9</t>
    </r>
    <r>
      <rPr>
        <sz val="11"/>
        <color theme="1"/>
        <rFont val="宋体"/>
        <family val="3"/>
        <charset val="134"/>
        <scheme val="minor"/>
      </rPr>
      <t>-3-4</t>
    </r>
    <phoneticPr fontId="135" type="noConversion"/>
  </si>
  <si>
    <r>
      <t>8</t>
    </r>
    <r>
      <rPr>
        <sz val="11"/>
        <color theme="1"/>
        <rFont val="宋体"/>
        <family val="3"/>
        <charset val="134"/>
        <scheme val="minor"/>
      </rPr>
      <t>-1-1</t>
    </r>
    <phoneticPr fontId="135" type="noConversion"/>
  </si>
  <si>
    <t>8-1-2</t>
    <phoneticPr fontId="135" type="noConversion"/>
  </si>
  <si>
    <r>
      <t>8</t>
    </r>
    <r>
      <rPr>
        <sz val="11"/>
        <color theme="1"/>
        <rFont val="宋体"/>
        <family val="3"/>
        <charset val="134"/>
        <scheme val="minor"/>
      </rPr>
      <t>-2-1</t>
    </r>
    <phoneticPr fontId="135" type="noConversion"/>
  </si>
  <si>
    <r>
      <t>8</t>
    </r>
    <r>
      <rPr>
        <sz val="11"/>
        <color theme="1"/>
        <rFont val="宋体"/>
        <family val="3"/>
        <charset val="134"/>
        <scheme val="minor"/>
      </rPr>
      <t>-2-2</t>
    </r>
    <phoneticPr fontId="135" type="noConversion"/>
  </si>
  <si>
    <r>
      <t>8</t>
    </r>
    <r>
      <rPr>
        <sz val="11"/>
        <color theme="1"/>
        <rFont val="宋体"/>
        <family val="3"/>
        <charset val="134"/>
        <scheme val="minor"/>
      </rPr>
      <t>-3-1</t>
    </r>
    <phoneticPr fontId="135" type="noConversion"/>
  </si>
  <si>
    <r>
      <t>7</t>
    </r>
    <r>
      <rPr>
        <sz val="11"/>
        <color theme="1"/>
        <rFont val="宋体"/>
        <family val="3"/>
        <charset val="134"/>
        <scheme val="minor"/>
      </rPr>
      <t>-1-2</t>
    </r>
    <phoneticPr fontId="135" type="noConversion"/>
  </si>
  <si>
    <r>
      <t>7</t>
    </r>
    <r>
      <rPr>
        <sz val="11"/>
        <color theme="1"/>
        <rFont val="宋体"/>
        <family val="3"/>
        <charset val="134"/>
        <scheme val="minor"/>
      </rPr>
      <t>-1-3</t>
    </r>
    <phoneticPr fontId="135" type="noConversion"/>
  </si>
  <si>
    <r>
      <t>7</t>
    </r>
    <r>
      <rPr>
        <sz val="11"/>
        <color theme="1"/>
        <rFont val="宋体"/>
        <family val="3"/>
        <charset val="134"/>
        <scheme val="minor"/>
      </rPr>
      <t>-1-4</t>
    </r>
    <phoneticPr fontId="135" type="noConversion"/>
  </si>
  <si>
    <r>
      <t>7</t>
    </r>
    <r>
      <rPr>
        <sz val="11"/>
        <color theme="1"/>
        <rFont val="宋体"/>
        <family val="3"/>
        <charset val="134"/>
        <scheme val="minor"/>
      </rPr>
      <t>-2-1</t>
    </r>
    <phoneticPr fontId="135" type="noConversion"/>
  </si>
  <si>
    <r>
      <t>7</t>
    </r>
    <r>
      <rPr>
        <sz val="11"/>
        <color theme="1"/>
        <rFont val="宋体"/>
        <family val="3"/>
        <charset val="134"/>
        <scheme val="minor"/>
      </rPr>
      <t>-2-2</t>
    </r>
    <phoneticPr fontId="135" type="noConversion"/>
  </si>
  <si>
    <r>
      <t>7</t>
    </r>
    <r>
      <rPr>
        <sz val="11"/>
        <color theme="1"/>
        <rFont val="宋体"/>
        <family val="3"/>
        <charset val="134"/>
        <scheme val="minor"/>
      </rPr>
      <t>-2-4</t>
    </r>
    <phoneticPr fontId="135" type="noConversion"/>
  </si>
  <si>
    <r>
      <t>7</t>
    </r>
    <r>
      <rPr>
        <sz val="11"/>
        <color theme="1"/>
        <rFont val="宋体"/>
        <family val="3"/>
        <charset val="134"/>
        <scheme val="minor"/>
      </rPr>
      <t>-3-1</t>
    </r>
    <phoneticPr fontId="135" type="noConversion"/>
  </si>
  <si>
    <t>建筑面积</t>
    <phoneticPr fontId="135" type="noConversion"/>
  </si>
  <si>
    <t>房号</t>
    <phoneticPr fontId="135" type="noConversion"/>
  </si>
  <si>
    <t>车位总面积</t>
    <phoneticPr fontId="135" type="noConversion"/>
  </si>
  <si>
    <t>平均</t>
    <phoneticPr fontId="135" type="noConversion"/>
  </si>
  <si>
    <r>
      <t>2</t>
    </r>
    <r>
      <rPr>
        <sz val="11"/>
        <color theme="1"/>
        <rFont val="宋体"/>
        <family val="3"/>
        <charset val="134"/>
        <scheme val="minor"/>
      </rPr>
      <t>8-38不等</t>
    </r>
    <phoneticPr fontId="135" type="noConversion"/>
  </si>
  <si>
    <t>成新度</t>
  </si>
  <si>
    <t>抵押</t>
  </si>
  <si>
    <t>房地产抵押价值</t>
  </si>
  <si>
    <t>北京市</t>
  </si>
  <si>
    <t>企业</t>
  </si>
  <si>
    <t>居住项目</t>
  </si>
  <si>
    <t>现房</t>
  </si>
  <si>
    <t>是</t>
  </si>
  <si>
    <t>地上</t>
  </si>
  <si>
    <t>地下</t>
  </si>
  <si>
    <t>地下车位</t>
    <phoneticPr fontId="135" type="noConversion"/>
  </si>
  <si>
    <r>
      <t>1</t>
    </r>
    <r>
      <rPr>
        <sz val="11"/>
        <color theme="1"/>
        <rFont val="宋体"/>
        <family val="3"/>
        <charset val="134"/>
        <scheme val="minor"/>
      </rPr>
      <t>0幢-2-2001</t>
    </r>
    <phoneticPr fontId="135" type="noConversion"/>
  </si>
  <si>
    <t>面积</t>
    <phoneticPr fontId="135" type="noConversion"/>
  </si>
  <si>
    <t>车位</t>
  </si>
  <si>
    <t>车位</t>
    <phoneticPr fontId="4" type="noConversion"/>
  </si>
  <si>
    <t>住宅</t>
    <phoneticPr fontId="8" type="noConversion"/>
  </si>
  <si>
    <t>车位</t>
    <phoneticPr fontId="8" type="noConversion"/>
  </si>
  <si>
    <t>建成年代</t>
    <phoneticPr fontId="4" type="noConversion"/>
  </si>
  <si>
    <t>根据中指</t>
    <phoneticPr fontId="4" type="noConversion"/>
  </si>
  <si>
    <t>拱辰街道</t>
    <phoneticPr fontId="4" type="noConversion"/>
  </si>
  <si>
    <t>收益法</t>
  </si>
  <si>
    <t>押一</t>
  </si>
  <si>
    <t>钢混</t>
  </si>
  <si>
    <t>非生产用房</t>
  </si>
  <si>
    <t>否</t>
  </si>
  <si>
    <t>收益法 （车位）</t>
  </si>
  <si>
    <t>收益法 （车位）</t>
    <phoneticPr fontId="17" type="noConversion"/>
  </si>
  <si>
    <t>单套模式</t>
  </si>
  <si>
    <t>售价</t>
  </si>
  <si>
    <t>正常</t>
  </si>
  <si>
    <t>天恒水岸壹号</t>
    <phoneticPr fontId="4" type="noConversion"/>
  </si>
  <si>
    <t>———天恒水岸壹号——— 现房下跃109m²，地上精装 带南向花园 25 m²+6 米挑空地下室 50m²（地下毛坯） 📣428万起📣 ❀❀❀❀❀❀❀❀❀❀❀❀❀❀ 叠拼中心楼王13/14 号楼加推，上叠 185m² 709 万起，下叠 199m²799 万起</t>
    <phoneticPr fontId="135" type="noConversion"/>
  </si>
  <si>
    <t>上叠</t>
    <phoneticPr fontId="135" type="noConversion"/>
  </si>
  <si>
    <t>下叠</t>
    <phoneticPr fontId="135" type="noConversion"/>
  </si>
  <si>
    <t>总价</t>
    <phoneticPr fontId="135" type="noConversion"/>
  </si>
  <si>
    <t>链家在售</t>
    <phoneticPr fontId="135" type="noConversion"/>
  </si>
  <si>
    <t>上叠 185m² 699 万起（使用 380m²） 下叠 199m²799 万起（使用 400m²）</t>
    <phoneticPr fontId="135" type="noConversion"/>
  </si>
  <si>
    <t>元/月</t>
    <phoneticPr fontId="135" type="noConversion"/>
  </si>
  <si>
    <t>别墅区的车位是业主的。不租</t>
    <phoneticPr fontId="135" type="noConversion"/>
  </si>
  <si>
    <t>地下车位</t>
    <phoneticPr fontId="135" type="noConversion"/>
  </si>
  <si>
    <t>自定义</t>
  </si>
  <si>
    <t>地下车位售价</t>
    <phoneticPr fontId="135" type="noConversion"/>
  </si>
  <si>
    <t>万元左右</t>
    <phoneticPr fontId="135" type="noConversion"/>
  </si>
  <si>
    <t>别墅区车位，按照临停小时计算</t>
    <phoneticPr fontId="135" type="noConversion"/>
  </si>
  <si>
    <t>叠拼目前没有往外出租的，没有租金报价</t>
    <phoneticPr fontId="135" type="noConversion"/>
  </si>
  <si>
    <t>平层139.98，共15层，低楼层，精装修，空房无家具家电，季付价8000元/月</t>
    <phoneticPr fontId="135" type="noConversion"/>
  </si>
  <si>
    <t>比较法-住宅</t>
  </si>
  <si>
    <t>比较法-车位</t>
  </si>
  <si>
    <t>收益法 (元)</t>
  </si>
  <si>
    <t>5-1-4</t>
  </si>
  <si>
    <t>5-1-4</t>
    <phoneticPr fontId="25" type="noConversion"/>
  </si>
  <si>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</si>
  <si>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</si>
  <si>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</si>
  <si>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</si>
  <si>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</si>
  <si>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</si>
  <si>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</si>
  <si>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</si>
  <si>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</si>
  <si>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</si>
  <si>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</si>
  <si>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</si>
  <si>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</si>
  <si>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</si>
  <si>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</si>
  <si>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</si>
  <si>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</si>
  <si>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</si>
  <si>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</si>
  <si>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</si>
  <si>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</si>
  <si>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</si>
  <si>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</si>
  <si>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</si>
  <si>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</si>
  <si>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</si>
  <si>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</si>
  <si>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</si>
  <si>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</si>
  <si>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</si>
  <si>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</si>
  <si>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</si>
  <si>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</si>
  <si>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</si>
  <si>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</si>
  <si>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</si>
  <si>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</si>
  <si>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</si>
  <si>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</si>
  <si>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</si>
  <si>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</si>
  <si>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</si>
  <si>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</si>
  <si>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</si>
  <si>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</si>
  <si>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</si>
  <si>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楼面单价</t>
  </si>
  <si>
    <t>城镇住宅用地</t>
  </si>
  <si>
    <t>自定义容积率</t>
  </si>
  <si>
    <t>Ⅶ-房1</t>
  </si>
  <si>
    <t>有</t>
  </si>
  <si>
    <t>无</t>
  </si>
  <si>
    <t>500-1000米</t>
  </si>
  <si>
    <t>与级别开发程度一致</t>
  </si>
  <si>
    <t>中心城区以外</t>
  </si>
  <si>
    <t>较好</t>
  </si>
  <si>
    <t>较差</t>
  </si>
  <si>
    <t>好</t>
  </si>
  <si>
    <t>级别平均</t>
    <phoneticPr fontId="8" type="noConversion"/>
  </si>
  <si>
    <t>未包含在土地购买价格中</t>
  </si>
  <si>
    <t>已包含在土地取得成本中</t>
  </si>
  <si>
    <t>全部缴纳</t>
  </si>
  <si>
    <t>成本法-车位</t>
    <phoneticPr fontId="17" type="noConversion"/>
  </si>
  <si>
    <t>个车位</t>
    <phoneticPr fontId="135" type="noConversion"/>
  </si>
  <si>
    <t>数量</t>
    <phoneticPr fontId="135" type="noConversion"/>
  </si>
  <si>
    <t>住宅总面积</t>
    <phoneticPr fontId="135" type="noConversion"/>
  </si>
  <si>
    <t>合计</t>
    <phoneticPr fontId="135" type="noConversion"/>
  </si>
  <si>
    <t>总价</t>
    <phoneticPr fontId="135" type="noConversion"/>
  </si>
  <si>
    <t>2024年世联总价值</t>
    <phoneticPr fontId="135" type="noConversion"/>
  </si>
  <si>
    <t>住宅</t>
    <phoneticPr fontId="135" type="noConversion"/>
  </si>
  <si>
    <t>车位</t>
    <phoneticPr fontId="135" type="noConversion"/>
  </si>
  <si>
    <t>单价</t>
    <phoneticPr fontId="135" type="noConversion"/>
  </si>
  <si>
    <r>
      <t>2</t>
    </r>
    <r>
      <rPr>
        <sz val="11"/>
        <color theme="1"/>
        <rFont val="宋体"/>
        <family val="2"/>
        <scheme val="minor"/>
      </rPr>
      <t>025年康正总价</t>
    </r>
    <phoneticPr fontId="135" type="noConversion"/>
  </si>
  <si>
    <t>万元</t>
    <phoneticPr fontId="135" type="noConversion"/>
  </si>
  <si>
    <t>成本法-住宅</t>
    <phoneticPr fontId="17" type="noConversion"/>
  </si>
  <si>
    <t>基准地价修正-住宅</t>
    <phoneticPr fontId="17" type="noConversion"/>
  </si>
  <si>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phoneticPr fontId="7" type="noConversion"/>
  </si>
  <si>
    <t>情况3</t>
  </si>
  <si>
    <t>自行开发建设</t>
  </si>
  <si>
    <t>非个人房产</t>
  </si>
  <si>
    <t>出让金+开发费</t>
  </si>
  <si>
    <t>企业提供（在右侧录入）</t>
  </si>
  <si>
    <t>根据委托书</t>
    <phoneticPr fontId="135" type="noConversion"/>
  </si>
  <si>
    <t>成本法-住宅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</si>
</sst>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0" fillId="0" borderId="0" xfId="0" applyNumberFormat="1">
      <alignment vertical="center"/>
    </xf>
    <xf numFmtId="49" fontId="96" fillId="0" borderId="0" xfId="0" applyNumberFormat="1" applyFont="1">
      <alignment vertical="center"/>
    </xf>
    <xf numFmtId="14" fontId="96" fillId="0" borderId="0" xfId="0" applyNumberFormat="1" applyFont="1">
      <alignment vertical="center"/>
    </xf>
    <xf numFmtId="0" fontId="78" fillId="0" borderId="1" xfId="0" applyFont="1" applyBorder="1" applyAlignment="1" applyProtection="1">
      <alignment vertical="center" wrapText="1"/>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49" fontId="78" fillId="0" borderId="1" xfId="0" applyNumberFormat="1" applyFont="1" applyBorder="1" applyAlignment="1" applyProtection="1">
      <alignment horizontal="center" vertical="center" wrapText="1"/>
      <protection locked="0"/>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0" fontId="129" fillId="12" borderId="0" xfId="0" applyFont="1" applyFill="1" applyProtection="1">
      <alignment vertical="center"/>
      <protection locked="0"/>
    </xf>
    <xf numFmtId="0" fontId="78" fillId="5" borderId="0" xfId="0" applyFont="1" applyFill="1" applyProtection="1">
      <alignment vertical="center"/>
      <protection locked="0"/>
    </xf>
    <xf numFmtId="0" fontId="161" fillId="5" borderId="0" xfId="12" applyFont="1" applyFill="1" applyAlignment="1" applyProtection="1">
      <alignment horizontal="left" vertical="center" wrapText="1"/>
      <protection locked="0"/>
    </xf>
    <xf numFmtId="0" fontId="160" fillId="5" borderId="0" xfId="12" applyFill="1" applyAlignment="1" applyProtection="1">
      <alignment horizontal="left"/>
      <protection locked="0"/>
    </xf>
    <xf numFmtId="0" fontId="1" fillId="5" borderId="0" xfId="12" applyFont="1" applyFill="1" applyAlignment="1" applyProtection="1">
      <alignment horizontal="left"/>
      <protection locked="0"/>
    </xf>
    <xf numFmtId="49" fontId="273" fillId="12" borderId="4" xfId="0" applyNumberFormat="1" applyFont="1" applyFill="1" applyBorder="1" applyAlignment="1" applyProtection="1">
      <alignment horizontal="left" vertical="center"/>
      <protection locked="0"/>
    </xf>
    <xf numFmtId="0" fontId="114" fillId="6"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40" fillId="5" borderId="1" xfId="0" applyFont="1" applyFill="1" applyBorder="1" applyAlignment="1">
      <alignment horizontal="center" vertical="center" wrapText="1"/>
    </xf>
    <xf numFmtId="0" fontId="140"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7" xfId="0" applyFont="1" applyBorder="1" applyAlignment="1" applyProtection="1">
      <alignment horizontal="center" vertical="center" wrapText="1"/>
      <protection locked="0"/>
    </xf>
    <xf numFmtId="0" fontId="209" fillId="0" borderId="48"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367164</xdr:colOff>
      <xdr:row>1</xdr:row>
      <xdr:rowOff>0</xdr:rowOff>
    </xdr:from>
    <xdr:to>
      <xdr:col>25</xdr:col>
      <xdr:colOff>310572</xdr:colOff>
      <xdr:row>26</xdr:row>
      <xdr:rowOff>149648</xdr:rowOff>
    </xdr:to>
    <xdr:pic>
      <xdr:nvPicPr>
        <xdr:cNvPr id="2" name="图片 1">
          <a:extLst>
            <a:ext uri="{FF2B5EF4-FFF2-40B4-BE49-F238E27FC236}">
              <a16:creationId xmlns:a16="http://schemas.microsoft.com/office/drawing/2014/main" xmlns="" id="{7578F8EC-478F-E28D-CDEF-25250D3E708E}"/>
            </a:ext>
          </a:extLst>
        </xdr:cNvPr>
        <xdr:cNvPicPr>
          <a:picLocks noChangeAspect="1"/>
        </xdr:cNvPicPr>
      </xdr:nvPicPr>
      <xdr:blipFill>
        <a:blip xmlns:r="http://schemas.openxmlformats.org/officeDocument/2006/relationships" r:embed="rId1"/>
        <a:stretch>
          <a:fillRect/>
        </a:stretch>
      </xdr:blipFill>
      <xdr:spPr>
        <a:xfrm>
          <a:off x="5426844" y="0"/>
          <a:ext cx="10306608" cy="47216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xmlns="" id="{CB5F554B-E512-AE4F-BF54-CB84B5CD6E18}"/>
            </a:ext>
          </a:extLst>
        </xdr:cNvPr>
        <xdr:cNvPicPr>
          <a:picLocks noChangeAspect="1"/>
        </xdr:cNvPicPr>
      </xdr:nvPicPr>
      <xdr:blipFill>
        <a:blip xmlns:r="http://schemas.openxmlformats.org/officeDocument/2006/relationships" r:embed="rId1"/>
        <a:stretch>
          <a:fillRect/>
        </a:stretch>
      </xdr:blipFill>
      <xdr:spPr>
        <a:xfrm>
          <a:off x="0" y="0"/>
          <a:ext cx="9038095" cy="7295238"/>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xmlns="" id="{3A6DF880-ECA5-06B0-55C4-5756D08336E0}"/>
            </a:ext>
          </a:extLst>
        </xdr:cNvPr>
        <xdr:cNvPicPr>
          <a:picLocks noChangeAspect="1"/>
        </xdr:cNvPicPr>
      </xdr:nvPicPr>
      <xdr:blipFill>
        <a:blip xmlns:r="http://schemas.openxmlformats.org/officeDocument/2006/relationships" r:embed="rId2"/>
        <a:stretch>
          <a:fillRect/>
        </a:stretch>
      </xdr:blipFill>
      <xdr:spPr>
        <a:xfrm>
          <a:off x="0" y="7498080"/>
          <a:ext cx="9961905" cy="2257143"/>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xmlns="" id="{C7709206-04B0-24C8-354D-128CC8108427}"/>
            </a:ext>
          </a:extLst>
        </xdr:cNvPr>
        <xdr:cNvPicPr>
          <a:picLocks noChangeAspect="1"/>
        </xdr:cNvPicPr>
      </xdr:nvPicPr>
      <xdr:blipFill>
        <a:blip xmlns:r="http://schemas.openxmlformats.org/officeDocument/2006/relationships" r:embed="rId3"/>
        <a:stretch>
          <a:fillRect/>
        </a:stretch>
      </xdr:blipFill>
      <xdr:spPr>
        <a:xfrm>
          <a:off x="0" y="9875520"/>
          <a:ext cx="8914286" cy="2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xmlns="" id="{D6142DBD-DD3B-949C-A3D1-E01580CAE98A}"/>
            </a:ext>
          </a:extLst>
        </xdr:cNvPr>
        <xdr:cNvPicPr>
          <a:picLocks noChangeAspect="1"/>
        </xdr:cNvPicPr>
      </xdr:nvPicPr>
      <xdr:blipFill>
        <a:blip xmlns:r="http://schemas.openxmlformats.org/officeDocument/2006/relationships" r:embed="rId1"/>
        <a:stretch>
          <a:fillRect/>
        </a:stretch>
      </xdr:blipFill>
      <xdr:spPr>
        <a:xfrm>
          <a:off x="0" y="0"/>
          <a:ext cx="14095238" cy="7942857"/>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xmlns="" id="{001FD76C-5F44-B09F-6C28-3A659C67D490}"/>
            </a:ext>
          </a:extLst>
        </xdr:cNvPr>
        <xdr:cNvPicPr>
          <a:picLocks noChangeAspect="1"/>
        </xdr:cNvPicPr>
      </xdr:nvPicPr>
      <xdr:blipFill>
        <a:blip xmlns:r="http://schemas.openxmlformats.org/officeDocument/2006/relationships" r:embed="rId2"/>
        <a:stretch>
          <a:fillRect/>
        </a:stretch>
      </xdr:blipFill>
      <xdr:spPr>
        <a:xfrm>
          <a:off x="0" y="8046720"/>
          <a:ext cx="15047619" cy="7657143"/>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xmlns="" id="{F85C117A-B2B4-3558-2032-FDFF8EEBAECF}"/>
            </a:ext>
          </a:extLst>
        </xdr:cNvPr>
        <xdr:cNvPicPr>
          <a:picLocks noChangeAspect="1"/>
        </xdr:cNvPicPr>
      </xdr:nvPicPr>
      <xdr:blipFill>
        <a:blip xmlns:r="http://schemas.openxmlformats.org/officeDocument/2006/relationships" r:embed="rId3"/>
        <a:stretch>
          <a:fillRect/>
        </a:stretch>
      </xdr:blipFill>
      <xdr:spPr>
        <a:xfrm>
          <a:off x="0" y="15910560"/>
          <a:ext cx="15495238" cy="59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xmlns="" id="{F5BCC153-97A4-2B25-D6F6-0C6885B261BF}"/>
            </a:ext>
          </a:extLst>
        </xdr:cNvPr>
        <xdr:cNvPicPr>
          <a:picLocks noChangeAspect="1"/>
        </xdr:cNvPicPr>
      </xdr:nvPicPr>
      <xdr:blipFill>
        <a:blip xmlns:r="http://schemas.openxmlformats.org/officeDocument/2006/relationships" r:embed="rId1"/>
        <a:stretch>
          <a:fillRect/>
        </a:stretch>
      </xdr:blipFill>
      <xdr:spPr>
        <a:xfrm>
          <a:off x="0" y="0"/>
          <a:ext cx="14723809" cy="7809524"/>
        </a:xfrm>
        <a:prstGeom prst="rect">
          <a:avLst/>
        </a:prstGeom>
      </xdr:spPr>
    </xdr:pic>
    <xdr:clientData/>
  </xdr:twoCellAnchor>
  <xdr:twoCellAnchor editAs="oneCell">
    <xdr:from>
      <xdr:col>0</xdr:col>
      <xdr:colOff>0</xdr:colOff>
      <xdr:row>47</xdr:row>
      <xdr:rowOff>0</xdr:rowOff>
    </xdr:from>
    <xdr:to>
      <xdr:col>24</xdr:col>
      <xdr:colOff>74362</xdr:colOff>
      <xdr:row>89</xdr:row>
      <xdr:rowOff>176183</xdr:rowOff>
    </xdr:to>
    <xdr:pic>
      <xdr:nvPicPr>
        <xdr:cNvPr id="4" name="图片 3">
          <a:extLst>
            <a:ext uri="{FF2B5EF4-FFF2-40B4-BE49-F238E27FC236}">
              <a16:creationId xmlns:a16="http://schemas.microsoft.com/office/drawing/2014/main" xmlns="" id="{5C972CD4-022B-95E1-97C8-BB44AB165CE7}"/>
            </a:ext>
          </a:extLst>
        </xdr:cNvPr>
        <xdr:cNvPicPr>
          <a:picLocks noChangeAspect="1"/>
        </xdr:cNvPicPr>
      </xdr:nvPicPr>
      <xdr:blipFill>
        <a:blip xmlns:r="http://schemas.openxmlformats.org/officeDocument/2006/relationships" r:embed="rId2"/>
        <a:stretch>
          <a:fillRect/>
        </a:stretch>
      </xdr:blipFill>
      <xdr:spPr>
        <a:xfrm>
          <a:off x="0" y="8595360"/>
          <a:ext cx="14704762" cy="7857143"/>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xmlns="" id="{96079AC1-C9A4-F803-0F2C-B5086EFA7FAC}"/>
            </a:ext>
          </a:extLst>
        </xdr:cNvPr>
        <xdr:cNvSpPr/>
      </xdr:nvSpPr>
      <xdr:spPr>
        <a:xfrm>
          <a:off x="228600" y="4124325"/>
          <a:ext cx="14411325" cy="41910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xmlns="" id="{69E10E6B-E005-45C8-AB5D-5F0A14A4CE3A}"/>
            </a:ext>
          </a:extLst>
        </xdr:cNvPr>
        <xdr:cNvSpPr/>
      </xdr:nvSpPr>
      <xdr:spPr>
        <a:xfrm>
          <a:off x="142875" y="5162550"/>
          <a:ext cx="14411325" cy="25717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xmlns="" id="{28F78EB4-31B6-44AC-B75E-86D8A7B04D3E}"/>
            </a:ext>
          </a:extLst>
        </xdr:cNvPr>
        <xdr:cNvSpPr/>
      </xdr:nvSpPr>
      <xdr:spPr>
        <a:xfrm>
          <a:off x="104775" y="12624434"/>
          <a:ext cx="14411325" cy="7105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xmlns="" id="{B474F61A-3232-EA9D-63D4-7D5F58EFBF7B}"/>
            </a:ext>
          </a:extLst>
        </xdr:cNvPr>
        <xdr:cNvPicPr>
          <a:picLocks noChangeAspect="1"/>
        </xdr:cNvPicPr>
      </xdr:nvPicPr>
      <xdr:blipFill>
        <a:blip xmlns:r="http://schemas.openxmlformats.org/officeDocument/2006/relationships" r:embed="rId1"/>
        <a:stretch>
          <a:fillRect/>
        </a:stretch>
      </xdr:blipFill>
      <xdr:spPr>
        <a:xfrm>
          <a:off x="0" y="0"/>
          <a:ext cx="12676190" cy="6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北京市房山区揽秀南街15号院5号楼5-1-4等47套住宅、13号院10幢-1-1006等1147个地下车位房地产抵押价值预评估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受贵公司委托，我公司对北京市房山区揽秀南街15号院5号楼5-1-4等47套住宅、13号院10幢-1-1006等1147个地下车位房地产抵押价值进行了预评估。</v>
      </c>
    </row>
    <row r="7" spans="1:2">
      <c r="A7" s="1119" t="s">
        <v>566</v>
      </c>
      <c r="B7" s="1120"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2025年6月16日</v>
      </c>
    </row>
    <row r="13" spans="1:2">
      <c r="A13" s="1119" t="s">
        <v>529</v>
      </c>
      <c r="B13" s="1120" t="str">
        <f>'预评函-1'!A18</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645</v>
      </c>
    </row>
    <row r="21" spans="1:2">
      <c r="A21" s="1119" t="s">
        <v>537</v>
      </c>
      <c r="B21" s="1120">
        <f ca="1">'预评函-2'!D7</f>
        <v>34698</v>
      </c>
    </row>
    <row r="22" spans="1:2">
      <c r="A22" s="1119" t="s">
        <v>538</v>
      </c>
      <c r="B22" s="1120" t="str">
        <f ca="1">'预评函-2'!D6</f>
        <v>陆佰肆拾伍万元整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645</v>
      </c>
    </row>
    <row r="31" spans="1:2">
      <c r="A31" s="1119" t="s">
        <v>576</v>
      </c>
      <c r="B31" s="1120">
        <f ca="1">'预评函-2'!D15</f>
        <v>34698</v>
      </c>
    </row>
    <row r="32" spans="1:2">
      <c r="A32" s="1119" t="s">
        <v>543</v>
      </c>
      <c r="B32" s="1120" t="str">
        <f ca="1">'预评函-2'!D14</f>
        <v>陆佰肆拾伍万元整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北京市房山区揽秀南街15号院5号楼5-1-4等47套住宅、13号院10幢-1-1006等1147个地下车位房地产</v>
      </c>
    </row>
    <row r="42" spans="1:2">
      <c r="A42" s="1119" t="s">
        <v>590</v>
      </c>
      <c r="B42" s="1120" t="str">
        <f>'预评函-3'!B2</f>
        <v>建筑面积</v>
      </c>
    </row>
    <row r="43" spans="1:2">
      <c r="A43" s="1119" t="s">
        <v>591</v>
      </c>
      <c r="B43" s="1120">
        <f>'预评函-3'!B4</f>
        <v>216.68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3494</v>
      </c>
      <c r="C19" s="1442"/>
    </row>
    <row r="20" spans="1:3">
      <c r="A20" s="1441" t="s">
        <v>1048</v>
      </c>
      <c r="B20" s="1441" t="s">
        <v>3581</v>
      </c>
      <c r="C20" s="1442"/>
    </row>
    <row r="21" spans="1:3">
      <c r="A21" s="1441" t="s">
        <v>1049</v>
      </c>
      <c r="B21" s="1441" t="s">
        <v>3593</v>
      </c>
      <c r="C21" s="1442"/>
    </row>
    <row r="22" spans="1:3">
      <c r="A22" s="1441" t="s">
        <v>1050</v>
      </c>
      <c r="B22" s="1441" t="s">
        <v>3594</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18" t="s">
        <v>2579</v>
      </c>
      <c r="J2" s="3218"/>
      <c r="K2" s="3218"/>
      <c r="L2" s="3218"/>
      <c r="M2" s="3218"/>
      <c r="N2" s="3218"/>
      <c r="O2" s="3218"/>
      <c r="P2" s="3218"/>
      <c r="Q2" s="3218"/>
      <c r="R2" s="3218"/>
    </row>
    <row r="3" spans="1:18">
      <c r="A3" s="2761" t="s">
        <v>2500</v>
      </c>
      <c r="B3" s="2762">
        <f>项目基本情况!D3</f>
        <v>45824</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1.5</v>
      </c>
      <c r="D5" s="2766">
        <f>IF(ISERROR(ROUND(POWER(1+E5,A5-C5)*(POWER(1+E5,C5)-1)/(POWER(1+E5,A5)-1),3)),0,ROUND(POWER(1+E5,A5-C5)*(POWER(1+E5,C5)-1)/(POWER(1+E5,A5)-1),4))</f>
        <v>7.22E-2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11.51</v>
      </c>
      <c r="D6" s="2766">
        <f>IF(ISERROR(ROUND(POWER(1+E6,A6-C6)*(POWER(1+E6,C6)-1)/(POWER(1+E6,A6)-1),3)),0,ROUND(POWER(1+E6,A6-C6)*(POWER(1+E6,C6)-1)/(POWER(1+E6,A6)-1),4))</f>
        <v>0.42280000000000001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31.53</v>
      </c>
      <c r="D7" s="2766">
        <f>IF(ISERROR(ROUND(POWER(1+E7,A7-C7)*(POWER(1+E7,C7)-1)/(POWER(1+E7,A7)-1),3)),0,ROUND(POWER(1+E7,A7-C7)*(POWER(1+E7,C7)-1)/(POWER(1+E7,A7)-1),4))</f>
        <v>0.75829999999999997</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4.25" thickBot="1">
      <c r="A18" s="2771" t="s">
        <v>2515</v>
      </c>
      <c r="B18" s="2772">
        <f>ROUND(B17*F11/F12,2)</f>
        <v>5541.87</v>
      </c>
      <c r="C18" s="2772">
        <f>ROUND(F11/F12,4)</f>
        <v>1.1521999999999999</v>
      </c>
      <c r="D18" s="2773"/>
      <c r="E18" s="2773"/>
      <c r="F18" s="2774"/>
    </row>
    <row r="19" spans="1:14" ht="14.25" thickBot="1"/>
    <row r="20" spans="1:14" s="2807" customFormat="1" ht="14.2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4.2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9" sqref="G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2167</v>
      </c>
      <c r="B1" s="3219"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220"/>
      <c r="D1" s="3220"/>
      <c r="E1" s="3220"/>
      <c r="F1" s="3220"/>
      <c r="G1" s="3220"/>
      <c r="H1" s="3220"/>
      <c r="I1" s="3221"/>
      <c r="J1" s="2244"/>
      <c r="K1" s="2182"/>
      <c r="L1" s="2183"/>
      <c r="M1" s="2183"/>
      <c r="N1" s="2181"/>
      <c r="O1" s="1466"/>
      <c r="P1" s="2181"/>
      <c r="Q1" s="2181"/>
      <c r="R1" s="2181"/>
      <c r="S1" s="1561"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1618"/>
      <c r="U1" s="1618"/>
      <c r="V1" s="1618"/>
      <c r="W1" s="1618"/>
      <c r="X1" s="1618"/>
      <c r="Y1" s="1618"/>
      <c r="Z1" s="1618"/>
      <c r="AA1" s="1618"/>
      <c r="AB1" s="1618"/>
    </row>
    <row r="2" spans="1:30">
      <c r="A2" s="2181" t="s">
        <v>2168</v>
      </c>
      <c r="B2" s="122"/>
      <c r="D2" s="2446"/>
      <c r="E2" s="2440"/>
      <c r="F2" s="2440"/>
      <c r="G2" s="2441"/>
      <c r="H2" s="2441"/>
      <c r="I2" s="2441"/>
      <c r="J2" s="2244"/>
      <c r="K2" s="2182"/>
      <c r="L2" s="2183"/>
      <c r="M2" s="2183"/>
      <c r="N2" s="2181"/>
      <c r="O2" s="1466"/>
      <c r="P2" s="2181"/>
      <c r="Q2" s="2181"/>
      <c r="R2" s="2181"/>
      <c r="S2" s="1561"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1618"/>
      <c r="U2" s="1618"/>
      <c r="V2" s="1618"/>
      <c r="W2" s="1618"/>
      <c r="X2" s="1618"/>
      <c r="Y2" s="1618"/>
      <c r="Z2" s="1618"/>
      <c r="AA2" s="1618"/>
      <c r="AB2" s="1618"/>
    </row>
    <row r="3" spans="1:30">
      <c r="A3" s="294" t="s">
        <v>2169</v>
      </c>
      <c r="B3" s="2184"/>
      <c r="C3" s="2185" t="s">
        <v>2170</v>
      </c>
      <c r="D3" s="2184">
        <v>45824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3469</v>
      </c>
      <c r="C8" s="2200"/>
      <c r="D8" s="3222" t="s">
        <v>2176</v>
      </c>
      <c r="E8" s="2201" t="s">
        <v>3470</v>
      </c>
      <c r="F8" s="2202"/>
      <c r="G8" s="2441"/>
      <c r="H8" s="2441"/>
      <c r="I8" s="2441"/>
      <c r="J8" s="2244"/>
      <c r="K8" s="2399"/>
      <c r="L8" s="2398"/>
      <c r="M8" s="2398"/>
      <c r="N8" s="2244"/>
      <c r="O8" s="1670"/>
      <c r="P8" s="2244"/>
      <c r="Q8" s="2244"/>
      <c r="R8" s="2244"/>
    </row>
    <row r="9" spans="1:30" ht="13.5" thickBot="1">
      <c r="A9" s="2203" t="s">
        <v>2177</v>
      </c>
      <c r="B9" s="2204" t="s">
        <v>3470</v>
      </c>
      <c r="C9" s="2205"/>
      <c r="D9" s="3223"/>
      <c r="E9" s="2204" t="s">
        <v>43</v>
      </c>
      <c r="F9" s="2206"/>
      <c r="G9" s="2442"/>
      <c r="H9" s="2442"/>
      <c r="I9" s="2442"/>
      <c r="J9" s="2244"/>
      <c r="K9" s="2401"/>
      <c r="L9" s="2398"/>
      <c r="M9" s="2398"/>
      <c r="N9" s="2244"/>
      <c r="O9" s="1670"/>
      <c r="P9" s="2244"/>
      <c r="Q9" s="2244"/>
      <c r="R9" s="2244"/>
    </row>
    <row r="10" spans="1:30" ht="13.5" thickTop="1">
      <c r="A10" s="2207" t="s">
        <v>2178</v>
      </c>
      <c r="B10" s="2208" t="s">
        <v>3471</v>
      </c>
      <c r="C10" s="2209"/>
      <c r="D10" s="2192"/>
      <c r="E10" s="2210" t="s">
        <v>2179</v>
      </c>
      <c r="F10" s="3175" t="s">
        <v>3595</v>
      </c>
      <c r="G10" s="2443"/>
      <c r="H10" s="2444"/>
      <c r="I10" s="2445"/>
      <c r="J10" s="2244"/>
      <c r="K10" s="2401"/>
      <c r="L10" s="2398"/>
      <c r="M10" s="2398"/>
      <c r="N10" s="2244"/>
      <c r="O10" s="1670"/>
      <c r="P10" s="2244"/>
      <c r="Q10" s="2244"/>
      <c r="R10" s="2244"/>
    </row>
    <row r="11" spans="1:30">
      <c r="A11" s="2211" t="s">
        <v>2180</v>
      </c>
      <c r="B11" s="2212" t="s">
        <v>3472</v>
      </c>
      <c r="C11" s="2213"/>
      <c r="D11" s="2214"/>
      <c r="E11" s="2181"/>
      <c r="F11" s="2181"/>
      <c r="G11" s="2181"/>
      <c r="H11" s="2181"/>
      <c r="I11" s="2181"/>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v>67789</v>
      </c>
      <c r="D13" s="803"/>
      <c r="E13" s="803"/>
      <c r="F13" s="803">
        <v>60484</v>
      </c>
      <c r="G13" s="803"/>
      <c r="H13" s="803"/>
      <c r="I13" s="803"/>
      <c r="J13" s="2801"/>
      <c r="K13" s="2398"/>
      <c r="L13" s="2398"/>
      <c r="M13" s="2244"/>
      <c r="N13" s="1670"/>
      <c r="O13" s="2244"/>
      <c r="P13" s="2244"/>
      <c r="Q13" s="2244"/>
      <c r="AD13" s="1618"/>
    </row>
    <row r="14" spans="1:30">
      <c r="A14" s="1018"/>
      <c r="B14" s="2217" t="s">
        <v>2190</v>
      </c>
      <c r="C14" s="2218">
        <v>70</v>
      </c>
      <c r="D14" s="2218"/>
      <c r="E14" s="2218"/>
      <c r="F14" s="2218">
        <v>50</v>
      </c>
      <c r="G14" s="2218"/>
      <c r="H14" s="2218"/>
      <c r="I14" s="2218"/>
      <c r="J14" s="2802"/>
      <c r="K14" s="2398"/>
      <c r="L14" s="2398"/>
      <c r="M14" s="2244"/>
      <c r="N14" s="1670"/>
      <c r="O14" s="2244"/>
      <c r="P14" s="2244"/>
      <c r="Q14" s="2244"/>
      <c r="AD14" s="1618"/>
    </row>
    <row r="15" spans="1:30">
      <c r="A15" s="312"/>
      <c r="B15" s="2219" t="s">
        <v>2191</v>
      </c>
      <c r="C15" s="2220">
        <f>IF(A13="出让",IF(C13="","",ROUNDDOWN(MIN((C13-$D$3)/365,C14),2)),C14)</f>
        <v>60.17</v>
      </c>
      <c r="D15" s="2220" t="str">
        <f>IF(A13="出让",IF(D13="","",ROUNDDOWN(MIN((D13-$D$3)/365,D14),2)),D14)</f>
        <v/>
      </c>
      <c r="E15" s="2220" t="str">
        <f>IF(A13="出让",IF(E13="","",ROUNDDOWN(MIN((E13-$D$3)/365,E14),2)),E14)</f>
        <v/>
      </c>
      <c r="F15" s="2220">
        <f>IF(A13="出让",IF(F13="","",ROUNDDOWN(MIN((F13-$D$3)/365,F14),2)),F14)</f>
        <v>40.159999999999997</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2192</v>
      </c>
      <c r="B16" s="3229"/>
      <c r="C16" s="3230"/>
      <c r="D16" s="3231"/>
      <c r="E16" s="2221" t="s">
        <v>2193</v>
      </c>
      <c r="F16" s="3232"/>
      <c r="G16" s="3233"/>
      <c r="H16" s="3233"/>
      <c r="I16" s="3234"/>
      <c r="J16" s="2244"/>
      <c r="K16" s="2402"/>
      <c r="L16" s="1670"/>
      <c r="M16" s="1670"/>
      <c r="N16" s="2244"/>
      <c r="O16" s="1670"/>
      <c r="P16" s="2244"/>
      <c r="Q16" s="2244"/>
      <c r="R16" s="2244"/>
    </row>
    <row r="17" spans="1:28">
      <c r="A17" s="305" t="s">
        <v>2194</v>
      </c>
      <c r="B17" s="294" t="s">
        <v>2195</v>
      </c>
      <c r="C17" s="8">
        <f>'数据-汇总表'!E3</f>
        <v>216.68</v>
      </c>
      <c r="D17" s="1256" t="s">
        <v>2196</v>
      </c>
      <c r="E17" s="3235" t="s">
        <v>2197</v>
      </c>
      <c r="F17" s="3236"/>
      <c r="G17" s="3236"/>
      <c r="H17" s="3236"/>
      <c r="I17" s="3237"/>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38" t="s">
        <v>2201</v>
      </c>
      <c r="F18" s="3239"/>
      <c r="G18" s="3239"/>
      <c r="H18" s="3239"/>
      <c r="I18" s="3240"/>
      <c r="J18" s="2244"/>
      <c r="K18" s="2403"/>
      <c r="L18" s="1670"/>
      <c r="M18" s="1670"/>
      <c r="N18" s="2244"/>
      <c r="O18" s="1670"/>
      <c r="P18" s="2244"/>
      <c r="Q18" s="2244"/>
      <c r="R18" s="2244"/>
      <c r="S18" s="2244"/>
      <c r="T18" s="2244"/>
      <c r="U18" s="2244"/>
      <c r="V18" s="2244"/>
    </row>
    <row r="19" spans="1:28" ht="39.75" thickTop="1" thickBot="1">
      <c r="A19" s="319" t="s">
        <v>1055</v>
      </c>
      <c r="B19" s="299" t="s">
        <v>2202</v>
      </c>
      <c r="C19" s="1455" t="s">
        <v>3475</v>
      </c>
      <c r="D19" s="1456" t="s">
        <v>2203</v>
      </c>
      <c r="E19" s="1457" t="s">
        <v>3492</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2204</v>
      </c>
      <c r="B20" s="3225" t="s">
        <v>2205</v>
      </c>
      <c r="C20" s="3226"/>
      <c r="D20" s="3227" t="s">
        <v>2206</v>
      </c>
      <c r="E20" s="3228"/>
      <c r="F20" s="2429" t="s">
        <v>1056</v>
      </c>
      <c r="G20" s="2441"/>
      <c r="H20" s="2441"/>
      <c r="I20" s="2441"/>
      <c r="J20" s="2244"/>
      <c r="K20" s="322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2208</v>
      </c>
      <c r="C21" s="2295" t="s">
        <v>1057</v>
      </c>
      <c r="D21" s="1460" t="s">
        <v>2209</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2210</v>
      </c>
      <c r="C22" s="2295" t="s">
        <v>1058</v>
      </c>
      <c r="D22" s="2441"/>
      <c r="E22" s="2441"/>
      <c r="F22" s="2441"/>
      <c r="G22" s="2441"/>
      <c r="H22" s="2441"/>
      <c r="I22" s="2441"/>
      <c r="J22" s="2244"/>
      <c r="K22" s="3224"/>
      <c r="L22" s="64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2" t="s">
        <v>2213</v>
      </c>
      <c r="B27" s="312" t="s">
        <v>2214</v>
      </c>
      <c r="C27" s="2224" t="s">
        <v>3473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2"/>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2"/>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3"/>
      <c r="B30" s="294" t="s">
        <v>2217</v>
      </c>
      <c r="C30" s="3244"/>
      <c r="D30" s="3245"/>
      <c r="E30" s="2441"/>
      <c r="F30" s="2441"/>
      <c r="G30" s="2441"/>
      <c r="H30" s="2441"/>
      <c r="I30" s="2441"/>
      <c r="J30" s="2244"/>
      <c r="K30" s="2401"/>
      <c r="L30" s="2398"/>
      <c r="M30" s="2398"/>
      <c r="N30" s="2244"/>
      <c r="O30" s="1670"/>
      <c r="P30" s="2244"/>
      <c r="Q30" s="2244"/>
      <c r="R30" s="2244"/>
      <c r="S30" s="2244"/>
      <c r="T30" s="2244"/>
      <c r="U30" s="2244"/>
      <c r="V30" s="2244"/>
    </row>
    <row r="31" spans="1:28">
      <c r="A31" s="3246" t="s">
        <v>2218</v>
      </c>
      <c r="B31" s="2230" t="s">
        <v>3474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1" t="s">
        <v>2227</v>
      </c>
      <c r="T34" s="315" t="str">
        <f>NUMBERSTRING(7-K34,1)&amp;"通"</f>
        <v>七通</v>
      </c>
      <c r="U34" s="2244"/>
      <c r="V34" s="2244"/>
    </row>
    <row r="35" spans="1:30">
      <c r="A35" s="2235"/>
      <c r="B35" s="3241" t="s">
        <v>2228</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c r="A36" s="2182"/>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c r="C38" s="2237"/>
      <c r="D38" s="2237" t="s">
        <v>3568</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2232</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216.68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216.68</v>
      </c>
      <c r="H5" s="13">
        <f t="shared" ref="H5:AT5" si="0">SUM(H13:H656)</f>
        <v>216.68</v>
      </c>
      <c r="I5" s="13">
        <f t="shared" si="0"/>
        <v>185.94</v>
      </c>
      <c r="J5" s="13">
        <f t="shared" si="0"/>
        <v>0</v>
      </c>
      <c r="K5" s="13">
        <f t="shared" si="0"/>
        <v>30.74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216.68</v>
      </c>
      <c r="BA5" s="15">
        <f t="shared" si="1"/>
        <v>216.68</v>
      </c>
      <c r="BB5" s="15">
        <f t="shared" si="1"/>
        <v>185.94</v>
      </c>
      <c r="BC5" s="15">
        <f t="shared" si="1"/>
        <v>30.74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3476</v>
      </c>
      <c r="J9" s="761"/>
      <c r="K9" s="1491" t="s">
        <v>3477</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3331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7" t="str">
        <f>面积信息!A30</f>
        <v>5-1-4</v>
      </c>
      <c r="D13" s="1513" t="s">
        <v>3475</v>
      </c>
      <c r="E13" s="13">
        <f>IF($C$3="是",ROUND($A$3*G13/$B$3,2),ROUND($A$3*(G13-AT13)/$B$3,2))</f>
        <v>0</v>
      </c>
      <c r="F13" s="29"/>
      <c r="G13" s="30">
        <f>H13+AC13+AT13</f>
        <v>185.94</v>
      </c>
      <c r="H13" s="17">
        <f>SUMIF(I$12:AB$12,"总值",I13:AB13)</f>
        <v>185.94</v>
      </c>
      <c r="I13" s="1514">
        <f>面积信息!B30</f>
        <v>185.94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5-1-4</v>
      </c>
      <c r="AY13" s="1260">
        <f>ROUND($AY$6*AZ13/$AZ$5,2)</f>
        <v>0</v>
      </c>
      <c r="AZ13" s="13">
        <f>BA13+BL13</f>
        <v>185.94</v>
      </c>
      <c r="BA13" s="13">
        <f>SUM(BB13:BK13)</f>
        <v>185.94</v>
      </c>
      <c r="BB13" s="13">
        <f>IF($D13="是",I13-J13,0)</f>
        <v>185.94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64" t="s">
        <v>3482</v>
      </c>
      <c r="D14" s="1513" t="s">
        <v>3475</v>
      </c>
      <c r="E14" s="13">
        <f>IF($C$3="是",ROUND($A$3*G14/$B$3,2),ROUND($A$3*(G14-AT14)/$B$3,2))</f>
        <v>0</v>
      </c>
      <c r="F14" s="29"/>
      <c r="G14" s="30">
        <f>H14+AC14+AT14</f>
        <v>30.74</v>
      </c>
      <c r="H14" s="17">
        <f>SUMIF(I$12:AB$12,"总值",I14:AB14)</f>
        <v>30.74</v>
      </c>
      <c r="I14" s="1514"/>
      <c r="J14" s="1514"/>
      <c r="K14" s="1514">
        <f>面积信息!E14</f>
        <v>30.74</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车位</v>
      </c>
      <c r="AY14" s="1260">
        <f>ROUND($AY$6*AZ14/$AZ$5,2)</f>
        <v>0</v>
      </c>
      <c r="AZ14" s="13">
        <f>BA14+BL14</f>
        <v>30.74</v>
      </c>
      <c r="BA14" s="13">
        <f>SUM(BB14:BK14)</f>
        <v>30.74</v>
      </c>
      <c r="BB14" s="13">
        <f>IF($D14="是",I14-J14,0)</f>
        <v>0</v>
      </c>
      <c r="BC14" s="13">
        <f>IF($D14="是",K14-L14,0)</f>
        <v>30.74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7" t="s">
        <v>1131</v>
      </c>
      <c r="B2" s="3257"/>
      <c r="C2" s="3257"/>
      <c r="D2" s="748" t="s">
        <v>1107</v>
      </c>
      <c r="E2" s="1523" t="s">
        <v>1108</v>
      </c>
      <c r="F2" s="2438"/>
      <c r="G2" s="2431"/>
      <c r="H2" s="2432"/>
      <c r="I2" s="2145" t="s">
        <v>1132</v>
      </c>
      <c r="J2" s="2438"/>
      <c r="K2" s="2438"/>
      <c r="L2" s="2438"/>
      <c r="M2" s="2438"/>
      <c r="N2" s="2439"/>
      <c r="O2" s="2438"/>
      <c r="P2" s="2438"/>
    </row>
    <row r="3" spans="1:16" ht="15.75" thickBot="1">
      <c r="A3" s="3258" t="s">
        <v>1105</v>
      </c>
      <c r="B3" s="3258"/>
      <c r="C3" s="3258"/>
      <c r="D3" s="41">
        <f>'数据-基础表'!AY6</f>
        <v>0</v>
      </c>
      <c r="E3" s="41">
        <f>'数据-基础表'!AZ5</f>
        <v>216.68</v>
      </c>
      <c r="F3" s="2438"/>
      <c r="G3" s="42"/>
      <c r="H3" s="43" t="s">
        <v>1106</v>
      </c>
      <c r="I3" s="802" t="e">
        <f>ROUND('数据-基础表'!B3/'数据-基础表'!A3,2)</f>
        <v>#DIV/0!</v>
      </c>
      <c r="J3" s="2438"/>
      <c r="K3" s="2438"/>
      <c r="L3" s="2438"/>
      <c r="M3" s="2438"/>
      <c r="N3" s="2439"/>
      <c r="O3" s="2438"/>
      <c r="P3" s="2438"/>
    </row>
    <row r="4" spans="1:16" ht="15">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185.94</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30.740000000000009</v>
      </c>
      <c r="F6" s="2438"/>
      <c r="G6" s="1529" t="s">
        <v>1112</v>
      </c>
      <c r="H6" s="45" t="s">
        <v>1113</v>
      </c>
      <c r="I6" s="2434" t="e">
        <f>ROUND(F31/D31,2)</f>
        <v>#DIV/0!</v>
      </c>
      <c r="J6" s="2438"/>
      <c r="K6" s="2438"/>
      <c r="L6" s="2438"/>
      <c r="M6" s="2438"/>
      <c r="N6" s="2438"/>
      <c r="O6" s="2438"/>
      <c r="P6" s="2438"/>
    </row>
    <row r="7" spans="1:16" ht="15.75" thickBot="1">
      <c r="A7" s="3254"/>
      <c r="B7" s="3255"/>
      <c r="C7" s="3256"/>
      <c r="D7" s="1524" t="s">
        <v>1107</v>
      </c>
      <c r="E7" s="1528" t="s">
        <v>1114</v>
      </c>
      <c r="F7" s="2438"/>
      <c r="G7" s="2435" t="s">
        <v>1115</v>
      </c>
      <c r="H7" s="95"/>
      <c r="I7" s="2436">
        <v>2.5</v>
      </c>
      <c r="J7" s="3170" t="s">
        <v>3577</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185.94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30.74</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216.68</v>
      </c>
      <c r="F16" s="2438"/>
      <c r="G16" s="2438"/>
      <c r="H16" s="1531" t="s">
        <v>1135</v>
      </c>
      <c r="I16" s="1532"/>
      <c r="J16" s="1071"/>
      <c r="K16" s="3251" t="s">
        <v>1135</v>
      </c>
      <c r="L16" s="3252"/>
      <c r="M16" s="3252"/>
      <c r="N16" s="3252"/>
      <c r="O16" s="3252"/>
      <c r="P16" s="3253"/>
    </row>
    <row r="17" spans="1:19" ht="15">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3483</v>
      </c>
      <c r="D19" s="43">
        <f>ROUND($D$3*E19/$E$3,2)</f>
        <v>0</v>
      </c>
      <c r="E19" s="51">
        <f t="shared" ref="E19:E26" si="1">SUM(F19:G19)</f>
        <v>185.94</v>
      </c>
      <c r="F19" s="2556">
        <f>'数据-基础表'!G13</f>
        <v>185.94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185.94</v>
      </c>
    </row>
    <row r="20" spans="1:19">
      <c r="A20" s="1549"/>
      <c r="B20" s="45" t="s">
        <v>1153</v>
      </c>
      <c r="C20" s="3114" t="s">
        <v>3484</v>
      </c>
      <c r="D20" s="43">
        <f t="shared" ref="D20:D26" si="6">ROUND($D$3*E20/$E$3,2)</f>
        <v>0</v>
      </c>
      <c r="E20" s="51">
        <f t="shared" si="1"/>
        <v>30.74</v>
      </c>
      <c r="F20" s="2556"/>
      <c r="G20" s="1243">
        <f>'数据-基础表'!G14</f>
        <v>30.74</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30.74</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216.68</v>
      </c>
      <c r="F27" s="1072">
        <f>IF(SUM(F19:F26)=E8,SUM(F19:F26),"地上面积有误")</f>
        <v>185.94</v>
      </c>
      <c r="G27" s="1074">
        <f>SUM(G19:G26)</f>
        <v>30.74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216.68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216.68</v>
      </c>
      <c r="F31" s="644">
        <f>F27+F30</f>
        <v>185.94</v>
      </c>
      <c r="G31" s="645">
        <f>G27+G30</f>
        <v>30.74</v>
      </c>
      <c r="H31" s="2438"/>
      <c r="I31" s="2438"/>
      <c r="J31" s="2438"/>
      <c r="K31" s="2438"/>
      <c r="L31" s="2438"/>
      <c r="M31" s="2438"/>
      <c r="N31" s="2438"/>
      <c r="O31" s="2438"/>
      <c r="P31" s="2438"/>
    </row>
    <row r="32" spans="1:19">
      <c r="A32" s="1526"/>
      <c r="B32" s="1526" t="s">
        <v>1159</v>
      </c>
      <c r="C32" s="1526"/>
      <c r="D32" s="1526"/>
      <c r="E32" s="990">
        <f>SUMIF(C19:C26,"*住宅*",E19:E26)</f>
        <v>185.94</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1.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3404</v>
      </c>
      <c r="D6" s="805">
        <f>SUMIF(项目基本情况!C$12:I$12,C6,项目基本情况!C$14:I$14)</f>
        <v>70</v>
      </c>
      <c r="E6" s="804">
        <f>IF(B6="","",SUMIF(项目基本情况!C$12:I$12,C6,项目基本情况!C$13:I$13))</f>
        <v>67789</v>
      </c>
      <c r="F6" s="61">
        <f>SUMIF(项目基本情况!C$12:I$12,C6,项目基本情况!C$15:I$15)</f>
        <v>60.17</v>
      </c>
      <c r="G6" s="62">
        <f>IF(ISERROR(ROUND(POWER(1+H6,D6-F6)*(POWER(1+H6,F6)-1)/(POWER(1+H6,D6)-1),3)),0,ROUND(POWER(1+H6,D6-F6)*(POWER(1+H6,F6)-1)/(POWER(1+H6,D6)-1),3))</f>
        <v>0.97899999999999998</v>
      </c>
      <c r="H6" s="691">
        <v>0.05</v>
      </c>
      <c r="I6" s="691">
        <v>5.5E-2</v>
      </c>
      <c r="J6" s="63">
        <v>7.0000000000000007E-2</v>
      </c>
      <c r="K6" s="970">
        <f>SUMIF('数据-汇总表'!C$19:C$33,A6,'数据-汇总表'!E$19:E$33)</f>
        <v>185.94</v>
      </c>
      <c r="L6" s="692">
        <v>6000</v>
      </c>
      <c r="M6" s="64">
        <f t="shared" ref="M6:M14" si="0">ROUND(K6*L6/10000,0)</f>
        <v>112</v>
      </c>
      <c r="N6" s="690">
        <f>N18</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12000</v>
      </c>
      <c r="V6" s="67">
        <v>0.02</v>
      </c>
      <c r="W6" s="67">
        <v>0.1</v>
      </c>
      <c r="X6" s="979"/>
      <c r="Y6" s="68">
        <f>N6</f>
        <v>0.83</v>
      </c>
      <c r="Z6" s="69"/>
      <c r="AA6" s="63"/>
      <c r="AB6" s="63"/>
      <c r="AC6" s="979"/>
      <c r="AD6" s="70"/>
      <c r="AE6" s="980">
        <f ca="1">IF(AN6="",0,SUMIF(INDIRECT("'"&amp;AN6&amp;"'"&amp;"!E:E"),$AE$5,INDIRECT("'"&amp;AN6&amp;"'"&amp;"!F:F")))</f>
        <v>60.17</v>
      </c>
      <c r="AF6" s="74"/>
      <c r="AG6" s="130">
        <f>IF(AF6="",0,AE6-AF6)</f>
        <v>0</v>
      </c>
      <c r="AH6" s="71">
        <v>1</v>
      </c>
      <c r="AI6" s="73">
        <v>12</v>
      </c>
      <c r="AJ6" s="74"/>
      <c r="AK6" s="75">
        <v>0.01</v>
      </c>
      <c r="AL6" s="76">
        <v>1E-3</v>
      </c>
      <c r="AM6" s="77">
        <v>0.01</v>
      </c>
      <c r="AN6" s="1589" t="s">
        <v>3488</v>
      </c>
      <c r="AO6" s="50">
        <f ca="1">SUMIF(INDIRECT("'"&amp;AN6&amp;"'"&amp;"!A:A"),"总价",INDIRECT("'"&amp;AN6&amp;"'"&amp;"!B:B"))</f>
        <v>223</v>
      </c>
      <c r="AP6" s="1590">
        <f>IF(C6="住宅",K6*L6,0)</f>
        <v>1115640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车位</v>
      </c>
      <c r="B7" s="1587" t="str">
        <f t="shared" ref="B7:B13" si="1">IF(A7=0,"","经营性")</f>
        <v>经营性</v>
      </c>
      <c r="C7" s="1588" t="s">
        <v>3331</v>
      </c>
      <c r="D7" s="805">
        <f>SUMIF(项目基本情况!C$12:I$12,C7,项目基本情况!C$14:I$14)</f>
        <v>50</v>
      </c>
      <c r="E7" s="804">
        <f>IF(B7="","",SUMIF(项目基本情况!C$12:I$12,C7,项目基本情况!C$13:I$13))</f>
        <v>60484</v>
      </c>
      <c r="F7" s="61">
        <f>SUMIF(项目基本情况!C$12:I$12,C7,项目基本情况!C$15:I$15)</f>
        <v>40.159999999999997</v>
      </c>
      <c r="G7" s="62">
        <f t="shared" ref="G7:G11" si="2">IF(ISERROR(ROUND(POWER(1+H7,D7-F7)*(POWER(1+H7,F7)-1)/(POWER(1+H7,D7)-1),3)),0,ROUND(POWER(1+H7,D7-F7)*(POWER(1+H7,F7)-1)/(POWER(1+H7,D7)-1),3))</f>
        <v>0.94099999999999995</v>
      </c>
      <c r="H7" s="691">
        <f>H6</f>
        <v>0.05</v>
      </c>
      <c r="I7" s="691">
        <f>I6</f>
        <v>5.5E-2</v>
      </c>
      <c r="J7" s="63">
        <f>J6</f>
        <v>7.0000000000000007E-2</v>
      </c>
      <c r="K7" s="970">
        <f>SUMIF('数据-汇总表'!C$19:C$33,A7,'数据-汇总表'!E$19:E$33)</f>
        <v>30.74</v>
      </c>
      <c r="L7" s="692">
        <f>L6</f>
        <v>6000</v>
      </c>
      <c r="M7" s="64">
        <f t="shared" si="0"/>
        <v>18</v>
      </c>
      <c r="N7" s="690">
        <f>N6</f>
        <v>0.83</v>
      </c>
      <c r="O7" s="64" t="str">
        <f t="shared" ref="O7:O14" si="3">IF($N$5="成新度","——",ROUND(M7*N7,0))</f>
        <v>——</v>
      </c>
      <c r="P7" s="65" t="str">
        <f t="shared" ref="P7:P14" si="4">IF($N$5="成新度","——",M7-O7)</f>
        <v>——</v>
      </c>
      <c r="Q7" s="693">
        <v>0.05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售价案例!R11</f>
        <v>450</v>
      </c>
      <c r="V7" s="67">
        <v>1.4999999999999999E-2</v>
      </c>
      <c r="W7" s="67">
        <v>0.1</v>
      </c>
      <c r="X7" s="979"/>
      <c r="Y7" s="68">
        <f>Y6</f>
        <v>0.83</v>
      </c>
      <c r="Z7" s="69"/>
      <c r="AA7" s="63"/>
      <c r="AB7" s="63"/>
      <c r="AC7" s="979"/>
      <c r="AD7" s="70"/>
      <c r="AE7" s="980">
        <f t="shared" ref="AE7:AE13" ca="1" si="6">IF(AN7="",0,SUMIF(INDIRECT("'"&amp;AN7&amp;"'"&amp;"!E:E"),$AE$5,INDIRECT("'"&amp;AN7&amp;"'"&amp;"!F:F")))</f>
        <v>40.159999999999997</v>
      </c>
      <c r="AF7" s="74"/>
      <c r="AG7" s="130">
        <f t="shared" ref="AG7:AG13" si="7">IF(AF7="",0,AE7-AF7)</f>
        <v>0</v>
      </c>
      <c r="AH7" s="71">
        <v>1</v>
      </c>
      <c r="AI7" s="73">
        <v>12</v>
      </c>
      <c r="AJ7" s="74"/>
      <c r="AK7" s="75">
        <v>0.01</v>
      </c>
      <c r="AL7" s="76">
        <v>1E-3</v>
      </c>
      <c r="AM7" s="77">
        <v>0.01</v>
      </c>
      <c r="AN7" s="1589" t="s">
        <v>3493</v>
      </c>
      <c r="AO7" s="50">
        <f t="shared" ref="AO7:AO13" ca="1" si="8">SUMIF(INDIRECT("'"&amp;AN7&amp;"'"&amp;"!A:A"),"总价",INDIRECT("'"&amp;AN7&amp;"'"&amp;"!B:B"))</f>
        <v>1</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216.68</v>
      </c>
      <c r="L16" s="87">
        <f>ROUND(M16*10000/SUM(K6:K14),0)</f>
        <v>6000</v>
      </c>
      <c r="M16" s="87">
        <f>SUM(M6:M14)</f>
        <v>130</v>
      </c>
      <c r="N16" s="88">
        <f>ROUND(SUMPRODUCT(M6:M14,N6:N14)/M16,3)</f>
        <v>0.83</v>
      </c>
      <c r="O16" s="87">
        <f>SUM(O6:O14)</f>
        <v>0</v>
      </c>
      <c r="P16" s="87">
        <f>SUM(P6:P14)</f>
        <v>0</v>
      </c>
      <c r="Q16" s="89">
        <f>ROUND(SUMPRODUCT(Q6:Q13,K6:K13)/SUMPRODUCT((Q6:Q13&gt;0)*(K6:K13)),2)</f>
        <v>0.14000000000000001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3165" t="s">
        <v>3485</v>
      </c>
      <c r="N17" s="2447">
        <v>2015</v>
      </c>
      <c r="O17" s="3165" t="s">
        <v>3486</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f>ROUND(1-(1-0)*(2025-N17)/60,2)</f>
        <v>0.83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2309</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3166" t="s">
        <v>3487</v>
      </c>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3" t="s">
        <v>2285</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6.75">
      <c r="A4" s="2247"/>
      <c r="B4" s="315" t="s">
        <v>2253</v>
      </c>
      <c r="C4" s="2268" t="s">
        <v>2254</v>
      </c>
      <c r="D4" s="2265"/>
      <c r="E4" s="2269"/>
      <c r="F4" s="1281"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2286</v>
      </c>
      <c r="B13" s="2279"/>
      <c r="C13" s="2279"/>
      <c r="D13" s="2278"/>
      <c r="E13" s="2279"/>
      <c r="F13" s="2279"/>
      <c r="G13" s="2279"/>
    </row>
    <row r="14" spans="1:29" ht="15" thickBot="1">
      <c r="A14" s="2284"/>
      <c r="B14" s="2284"/>
      <c r="C14" s="2285" t="s">
        <v>2269</v>
      </c>
      <c r="D14" s="2265"/>
      <c r="E14" s="2286"/>
      <c r="F14" s="2286"/>
      <c r="G14" s="2261" t="s">
        <v>2270</v>
      </c>
    </row>
    <row r="15" spans="1:29" ht="51">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8.2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tabSelected="1" view="pageBreakPreview" zoomScale="80" zoomScaleNormal="80" zoomScaleSheetLayoutView="80" workbookViewId="0">
      <selection activeCell="O19" sqref="O19"/>
    </sheetView>
  </sheetViews>
  <sheetFormatPr defaultColWidth="9" defaultRowHeight="13.5"/>
  <cols>
    <col min="1" max="1" width="25" style="2300" customWidth="1"/>
    <col min="2" max="9" width="15.75" style="2300" customWidth="1"/>
    <col min="10" max="16384" width="9" style="2300"/>
  </cols>
  <sheetData>
    <row r="1" spans="1:14" ht="16.5">
      <c r="A1" s="2299" t="s">
        <v>665</v>
      </c>
      <c r="B1" s="2299">
        <f>SUM(B14:B23)</f>
        <v>46608.119999999995</v>
      </c>
      <c r="C1" s="2460"/>
      <c r="D1" s="2460"/>
      <c r="E1" s="2460"/>
      <c r="F1" s="2460"/>
      <c r="G1" s="2461"/>
      <c r="H1" s="2461"/>
      <c r="I1" s="2461"/>
      <c r="J1" s="2461"/>
      <c r="K1" s="2461"/>
    </row>
    <row r="2" spans="1:14" ht="16.5">
      <c r="A2" s="2299" t="s">
        <v>653</v>
      </c>
      <c r="B2" s="2299">
        <f>SUM(C14:C23)</f>
        <v>0</v>
      </c>
      <c r="C2" s="2460"/>
      <c r="D2" s="2460"/>
      <c r="E2" s="2460"/>
      <c r="F2" s="2460"/>
      <c r="G2" s="2461"/>
      <c r="H2" s="2461"/>
      <c r="I2" s="2461"/>
      <c r="J2" s="2461"/>
      <c r="K2" s="2461"/>
    </row>
    <row r="3" spans="1:14" ht="16.5">
      <c r="A3" s="2299" t="s">
        <v>662</v>
      </c>
      <c r="B3" s="2301">
        <f>项目基本情况!D3</f>
        <v>45824</v>
      </c>
      <c r="C3" s="2460"/>
      <c r="D3" s="2460"/>
      <c r="E3" s="2460"/>
      <c r="F3" s="2460"/>
      <c r="G3" s="2461"/>
      <c r="H3" s="2461"/>
      <c r="I3" s="2461"/>
      <c r="J3" s="2461"/>
      <c r="K3" s="2461"/>
    </row>
    <row r="4" spans="1:14" ht="33">
      <c r="A4" s="2299" t="s">
        <v>661</v>
      </c>
      <c r="B4" s="2299" t="s">
        <v>660</v>
      </c>
      <c r="C4" s="2299" t="s">
        <v>659</v>
      </c>
      <c r="D4" s="2299" t="s">
        <v>658</v>
      </c>
      <c r="E4" s="3172" t="s">
        <v>3587</v>
      </c>
      <c r="F4" s="3173">
        <v>62331</v>
      </c>
      <c r="G4" s="3174" t="s">
        <v>3592</v>
      </c>
      <c r="H4" s="3173"/>
      <c r="I4" s="3173"/>
      <c r="J4" s="3173"/>
      <c r="K4" s="3174" t="s">
        <v>3591</v>
      </c>
      <c r="L4" s="3173"/>
      <c r="M4" s="3173"/>
      <c r="N4" s="3173"/>
    </row>
    <row r="5" spans="1:14" ht="16.5">
      <c r="A5" s="2299" t="s">
        <v>657</v>
      </c>
      <c r="B5" s="2299">
        <f ca="1">SUM(D14:D23)</f>
        <v>49205</v>
      </c>
      <c r="C5" s="2299">
        <f ca="1">IF(B5=D14,'结果表-住宅'!H102,ROUND(B5*10000/$B$1,0))</f>
        <v>34698</v>
      </c>
      <c r="D5" s="2299" t="e">
        <f ca="1">ROUND(B5*10000/$B$2,0)</f>
        <v>#DIV/0!</v>
      </c>
      <c r="E5" s="3172"/>
      <c r="F5" s="3173"/>
      <c r="G5" s="3173"/>
      <c r="H5" s="3173"/>
      <c r="I5" s="3173"/>
      <c r="J5" s="3173"/>
      <c r="K5" s="3173">
        <f ca="1">D14</f>
        <v>49205</v>
      </c>
      <c r="L5" s="3174" t="s">
        <v>3592</v>
      </c>
      <c r="M5" s="3173"/>
      <c r="N5" s="3173"/>
    </row>
    <row r="6" spans="1:14" ht="16.5">
      <c r="A6" s="2299" t="s">
        <v>656</v>
      </c>
      <c r="B6" s="2299">
        <f ca="1">SUM(G14:G23)</f>
        <v>49205</v>
      </c>
      <c r="C6" s="2299">
        <f ca="1">IF(B6=G14,'结果表-住宅'!H108,ROUND(B6*10000/$B$1,0))</f>
        <v>34698</v>
      </c>
      <c r="D6" s="2299" t="e">
        <f ca="1">ROUND(B6*10000/$B$2,0)</f>
        <v>#DIV/0!</v>
      </c>
      <c r="E6" s="3172"/>
      <c r="F6" s="3174" t="s">
        <v>3588</v>
      </c>
      <c r="G6" s="3174" t="s">
        <v>3589</v>
      </c>
      <c r="H6" s="3174" t="s">
        <v>3585</v>
      </c>
      <c r="I6" s="3173"/>
      <c r="J6" s="3173"/>
      <c r="K6" s="3173"/>
      <c r="L6" s="3173"/>
      <c r="M6" s="3173"/>
      <c r="N6" s="3173"/>
    </row>
    <row r="7" spans="1:14" ht="16.5">
      <c r="A7" s="2299" t="s">
        <v>664</v>
      </c>
      <c r="B7" s="2299">
        <f>SUM(H14:H23)</f>
        <v>0</v>
      </c>
      <c r="C7" s="2299" t="str">
        <f>IF(B7=H14,'结果表-住宅'!H110,ROUND(B7*10000/$B$1,0))</f>
        <v>——</v>
      </c>
      <c r="D7" s="2299" t="e">
        <f>ROUND(B7*10000/$B$2,0)</f>
        <v>#DIV/0!</v>
      </c>
      <c r="E7" s="3172" t="s">
        <v>3586</v>
      </c>
      <c r="F7" s="3173">
        <v>42464</v>
      </c>
      <c r="G7" s="3173">
        <v>19867</v>
      </c>
      <c r="H7" s="3173">
        <f>F7+G7</f>
        <v>62331</v>
      </c>
      <c r="I7" s="3173"/>
      <c r="J7" s="3173"/>
      <c r="K7" s="3174" t="s">
        <v>3588</v>
      </c>
      <c r="L7" s="3174" t="s">
        <v>3589</v>
      </c>
      <c r="M7" s="3174" t="s">
        <v>3585</v>
      </c>
      <c r="N7" s="3173"/>
    </row>
    <row r="8" spans="1:14" ht="16.5">
      <c r="A8" s="2299" t="s">
        <v>587</v>
      </c>
      <c r="B8" s="2299">
        <f ca="1">SUM(I14:I23)</f>
        <v>45731</v>
      </c>
      <c r="C8" s="2299" t="str">
        <f ca="1">IF(B8=I14,'结果表-住宅'!H112,ROUND(B8*10000/$B$1,0))</f>
        <v>——</v>
      </c>
      <c r="D8" s="2299" t="e">
        <f ca="1">ROUND(B8*10000/$B$2,0)</f>
        <v>#DIV/0!</v>
      </c>
      <c r="E8" s="3172" t="s">
        <v>3590</v>
      </c>
      <c r="F8" s="3173">
        <v>47762</v>
      </c>
      <c r="G8" s="3173">
        <v>5267</v>
      </c>
      <c r="H8" s="3173"/>
      <c r="I8" s="3173"/>
      <c r="J8" s="3174" t="s">
        <v>3586</v>
      </c>
      <c r="K8" s="3173">
        <f ca="1">典型户型修正!S22</f>
        <v>30853</v>
      </c>
      <c r="L8" s="3173">
        <f ca="1">'结果表 -车位'!F25</f>
        <v>18352</v>
      </c>
      <c r="M8" s="3173">
        <f ca="1">K8+L8</f>
        <v>49205</v>
      </c>
      <c r="N8" s="3173"/>
    </row>
    <row r="9" spans="1:14" ht="16.5">
      <c r="A9" s="2299" t="s">
        <v>655</v>
      </c>
      <c r="B9" s="1244"/>
      <c r="C9" s="2460"/>
      <c r="D9" s="2460"/>
      <c r="E9" s="3172"/>
      <c r="F9" s="3173"/>
      <c r="G9" s="3173"/>
      <c r="H9" s="3173"/>
      <c r="I9" s="3173"/>
      <c r="J9" s="3174" t="s">
        <v>3590</v>
      </c>
      <c r="K9" s="3173">
        <f ca="1">典型户型修正!R22</f>
        <v>34702</v>
      </c>
      <c r="L9" s="3173">
        <f ca="1">'结果表 -车位'!G20</f>
        <v>5109</v>
      </c>
      <c r="M9" s="3173"/>
      <c r="N9" s="3173"/>
    </row>
    <row r="10" spans="1:14" ht="16.5">
      <c r="A10" s="2299" t="s">
        <v>654</v>
      </c>
      <c r="B10" s="2299">
        <f>IF(E10="",0,ROUND(B1*(E10*365/G10)/10000,0))</f>
        <v>0</v>
      </c>
      <c r="C10" s="2299" t="s">
        <v>3354</v>
      </c>
      <c r="D10" s="2299" t="s">
        <v>3355</v>
      </c>
      <c r="E10" s="3135"/>
      <c r="F10" s="3139" t="s">
        <v>3356</v>
      </c>
      <c r="G10" s="3136"/>
      <c r="H10" s="2461"/>
      <c r="I10" s="2461"/>
      <c r="J10" s="2461"/>
      <c r="K10" s="2461"/>
    </row>
    <row r="11" spans="1:14" ht="16.5">
      <c r="A11" s="2299" t="s">
        <v>670</v>
      </c>
      <c r="B11" s="1244"/>
      <c r="C11" s="2460"/>
      <c r="D11" s="2460"/>
      <c r="E11" s="2460"/>
      <c r="F11" s="2461"/>
      <c r="G11" s="2461"/>
      <c r="H11" s="2461"/>
      <c r="I11" s="2461"/>
      <c r="J11" s="2461"/>
      <c r="K11" s="2461"/>
    </row>
    <row r="12" spans="1:14" ht="16.5">
      <c r="A12" s="2460"/>
      <c r="B12" s="2460"/>
      <c r="C12" s="2460"/>
      <c r="D12" s="2460"/>
      <c r="E12" s="2460"/>
      <c r="F12" s="2461"/>
      <c r="G12" s="2461"/>
      <c r="H12" s="2461"/>
      <c r="I12" s="2461"/>
      <c r="J12" s="2461"/>
      <c r="K12" s="2461"/>
    </row>
    <row r="13" spans="1:14" ht="33">
      <c r="A13" s="2302" t="s">
        <v>669</v>
      </c>
      <c r="B13" s="2303" t="s">
        <v>666</v>
      </c>
      <c r="C13" s="2303" t="s">
        <v>668</v>
      </c>
      <c r="D13" s="2303" t="s">
        <v>667</v>
      </c>
      <c r="E13" s="2299" t="s">
        <v>659</v>
      </c>
      <c r="F13" s="2299" t="s">
        <v>658</v>
      </c>
      <c r="G13" s="2303" t="s">
        <v>652</v>
      </c>
      <c r="H13" s="2303" t="s">
        <v>663</v>
      </c>
      <c r="I13" s="2303" t="s">
        <v>651</v>
      </c>
      <c r="J13" s="2461"/>
      <c r="K13" s="2461"/>
    </row>
    <row r="14" spans="1:14" ht="16.5">
      <c r="A14" s="2304" t="s">
        <v>650</v>
      </c>
      <c r="B14" s="2305">
        <f>面积信息!F7+面积信息!F9</f>
        <v>46608.119999999995</v>
      </c>
      <c r="C14" s="2305"/>
      <c r="D14" s="2305">
        <f ca="1">典型户型修正!S22+'结果表 -车位'!F25</f>
        <v>49205</v>
      </c>
      <c r="E14" s="2305">
        <f ca="1">ROUND(D14*10000/B14,0)</f>
        <v>10557</v>
      </c>
      <c r="F14" s="2305" t="e">
        <f ca="1">ROUND(D14*10000/C14,0)</f>
        <v>#DIV/0!</v>
      </c>
      <c r="G14" s="2305">
        <f ca="1">D14</f>
        <v>49205</v>
      </c>
      <c r="H14" s="2305"/>
      <c r="I14" s="2305">
        <f ca="1">'结果表-住宅'!N59+'结果表 -车位'!N59</f>
        <v>45731</v>
      </c>
      <c r="J14" s="2461"/>
      <c r="K14" s="2461"/>
    </row>
    <row r="15" spans="1:14"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4"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P21" sqref="P2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3404</v>
      </c>
      <c r="D1" s="646"/>
      <c r="E1" s="646"/>
      <c r="F1" s="1621" t="s">
        <v>1263</v>
      </c>
      <c r="G1" s="1453" t="s">
        <v>3474</v>
      </c>
      <c r="H1" s="1621" t="str">
        <f>IF(G1="现房","——","估价对象范围")</f>
        <v>——</v>
      </c>
      <c r="I1" s="1622"/>
    </row>
    <row r="2" spans="1:12" ht="21.75" customHeight="1" thickBot="1">
      <c r="A2" s="3333" t="str">
        <f>项目基本情况!S2</f>
        <v>北京市房山区揽秀南街15号院5号楼5-1-4等47套住宅、13号院10幢-1-1006等1147个地下车位房地产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3514</v>
      </c>
      <c r="D4" s="1626" t="s">
        <v>3602</v>
      </c>
      <c r="E4" s="3342" t="s">
        <v>1267</v>
      </c>
      <c r="F4" s="3343"/>
      <c r="G4" s="3343"/>
      <c r="H4" s="3343"/>
      <c r="I4" s="3344"/>
      <c r="K4" s="138" t="str">
        <f>IF(ISNUMBER(FIND("比较法",'结果表-住宅'!C4)),"比较法",IF(ISNUMBER(FIND("成本法",'结果表-住宅'!C4)),"成本法",IF(ISNUMBER(FIND("假设开发法",'结果表-住宅'!C4)),"假设开发法",IF(ISNUMBER(FIND("收益法",'结果表-住宅'!C4)),"收益法","基准地价系数修正法"))))</f>
        <v>比较法</v>
      </c>
      <c r="L4" s="138"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7</v>
      </c>
      <c r="D14" s="3327">
        <v>3</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8" t="s">
        <v>2130</v>
      </c>
      <c r="F18" s="3359"/>
      <c r="G18" s="3359"/>
      <c r="H18" s="3359"/>
      <c r="I18" s="3359"/>
      <c r="K18" s="294" t="s">
        <v>1289</v>
      </c>
      <c r="L18" s="294">
        <f>IF(C1="",'数据-汇总表'!E3,SUMIF(项目类型,C1,'数据-汇总表'!E17:E26)+SUMIF(项目类型,C1,'数据-汇总表'!I17:I26))</f>
        <v>185.94</v>
      </c>
      <c r="M18" s="294">
        <f>IF(C1="",'数据-汇总表'!E3,SUMIF(项目类型,C1,'数据-汇总表'!E17:E26))</f>
        <v>185.94</v>
      </c>
    </row>
    <row r="19" spans="1:36" ht="15">
      <c r="A19" s="1630" t="s">
        <v>1290</v>
      </c>
      <c r="B19" s="1631" t="s">
        <v>1291</v>
      </c>
      <c r="C19" s="126">
        <f ca="1">SUMIF(INDIRECT("'"&amp;C4&amp;"'"&amp;"!A:A"),'结果表-住宅'!B19,INDIRECT("'"&amp;C4&amp;"'"&amp;"!B:B"))</f>
        <v>707.39009999999996</v>
      </c>
      <c r="D19" s="127">
        <f ca="1">SUMIF(INDIRECT("'"&amp;D4&amp;"'"&amp;"!A:A"),'结果表-住宅'!B19,INDIRECT("'"&amp;D4&amp;"'"&amp;"!B:B"))</f>
        <v>500</v>
      </c>
      <c r="E19" s="1630" t="s">
        <v>1292</v>
      </c>
      <c r="F19" s="1631" t="s">
        <v>1291</v>
      </c>
      <c r="G19" s="128">
        <f ca="1">ROUND(C19*$C$18+D19*$D$18,0)</f>
        <v>645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SUMIF(INDIRECT("'"&amp;C4&amp;"'"&amp;"!A:A"),'结果表-住宅'!B20,INDIRECT("'"&amp;C4&amp;"'"&amp;"!B:B"))</f>
        <v>38044</v>
      </c>
      <c r="D20" s="130">
        <f ca="1">SUMIF(INDIRECT("'"&amp;D4&amp;"'"&amp;"!A:A"),'结果表-住宅'!B20,INDIRECT("'"&amp;D4&amp;"'"&amp;"!B:B"))</f>
        <v>26890</v>
      </c>
      <c r="E20" s="1633"/>
      <c r="F20" s="43" t="s">
        <v>1295</v>
      </c>
      <c r="G20" s="131">
        <f ca="1">ROUND(C20*$C$18+D20*$D$18,0)</f>
        <v>34698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0.41478019999999982</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34698</v>
      </c>
      <c r="D32" s="1641" t="s">
        <v>3565</v>
      </c>
      <c r="E32" s="121"/>
      <c r="F32" s="121"/>
      <c r="G32" s="121"/>
      <c r="H32" s="121"/>
      <c r="I32" s="121"/>
    </row>
    <row r="33" spans="1:15" ht="15">
      <c r="A33" s="740" t="s">
        <v>1306</v>
      </c>
      <c r="B33" s="123"/>
      <c r="C33" s="1642" t="s">
        <v>3508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3176">
        <f ca="1">M48</f>
        <v>30853</v>
      </c>
      <c r="E45" s="148" t="s">
        <v>1327</v>
      </c>
      <c r="F45" s="149">
        <v>1</v>
      </c>
      <c r="G45" s="150" t="s">
        <v>1328</v>
      </c>
      <c r="H45" s="121"/>
      <c r="I45" s="121"/>
      <c r="J45" s="3267" t="s">
        <v>1329</v>
      </c>
      <c r="K45" s="3267"/>
      <c r="L45" s="3267"/>
      <c r="M45" s="3267"/>
      <c r="N45" s="3267"/>
      <c r="O45" s="3267"/>
    </row>
    <row r="46" spans="1:15" ht="14.25" customHeight="1">
      <c r="A46" s="3345" t="s">
        <v>1330</v>
      </c>
      <c r="B46" s="3346"/>
      <c r="C46" s="3346"/>
      <c r="D46" s="3346"/>
      <c r="E46" s="3346"/>
      <c r="F46" s="3346"/>
      <c r="G46" s="3347"/>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45824</v>
      </c>
      <c r="N47" s="3270"/>
      <c r="O47" s="3270"/>
    </row>
    <row r="48" spans="1:15" ht="25.5">
      <c r="A48" s="3331" t="s">
        <v>1338</v>
      </c>
      <c r="B48" s="3332"/>
      <c r="C48" s="3332"/>
      <c r="D48" s="12">
        <f ca="1">IF(H48="情况1",0,IF(H48="情况2",D52,IF(H48="情况3",D53,IF(H48="情况4",D54))))</f>
        <v>1645</v>
      </c>
      <c r="E48" s="1256" t="str">
        <f>IF(H48="情况4","(销售额-原购置价)×税（费）率","销售额×税（费）率")</f>
        <v>销售额×税（费）率</v>
      </c>
      <c r="F48" s="2334">
        <f>IF(H48="情况1","免征",'数据-取费表'!B41)</f>
        <v>5.6000000000000001E-2</v>
      </c>
      <c r="G48" s="2335" t="s">
        <v>1339</v>
      </c>
      <c r="H48" s="2336" t="s">
        <v>3596</v>
      </c>
      <c r="I48" s="1668"/>
      <c r="J48" s="2309">
        <v>3</v>
      </c>
      <c r="K48" s="3268" t="s">
        <v>1340</v>
      </c>
      <c r="L48" s="3268"/>
      <c r="M48" s="3271">
        <f ca="1">典型户型修正!S22</f>
        <v>30853</v>
      </c>
      <c r="N48" s="3271"/>
      <c r="O48" s="3271"/>
    </row>
    <row r="49" spans="1:35" ht="25.5" customHeight="1">
      <c r="A49" s="2151" t="s">
        <v>1341</v>
      </c>
      <c r="B49" s="3317" t="s">
        <v>1342</v>
      </c>
      <c r="C49" s="3317"/>
      <c r="D49" s="1478">
        <v>0</v>
      </c>
      <c r="E49" s="316" t="s">
        <v>1343</v>
      </c>
      <c r="F49" s="2232" t="s">
        <v>28</v>
      </c>
      <c r="G49" s="3300"/>
      <c r="H49" s="2133" t="s">
        <v>2133</v>
      </c>
      <c r="I49" s="2134"/>
      <c r="J49" s="2309">
        <v>4</v>
      </c>
      <c r="K49" s="3268" t="str">
        <f>IF(项目基本情况!E8="房地产抵押价值","房地产抵押价值","抵押担保权已注销时的房地产抵押价值")</f>
        <v>房地产抵押价值</v>
      </c>
      <c r="L49" s="3268"/>
      <c r="M49" s="3272">
        <f ca="1">M48</f>
        <v>30853</v>
      </c>
      <c r="N49" s="3272"/>
      <c r="O49" s="3272"/>
    </row>
    <row r="50" spans="1:35" ht="25.5" customHeight="1">
      <c r="A50" s="2337"/>
      <c r="B50" s="3317" t="s">
        <v>1344</v>
      </c>
      <c r="C50" s="3317"/>
      <c r="D50" s="2188"/>
      <c r="E50" s="323"/>
      <c r="F50" s="2232"/>
      <c r="G50" s="3301"/>
      <c r="H50" s="2135" t="s">
        <v>2134</v>
      </c>
      <c r="I50" s="2134"/>
      <c r="J50" s="3267" t="s">
        <v>1345</v>
      </c>
      <c r="K50" s="3267"/>
      <c r="L50" s="3267"/>
      <c r="M50" s="3267"/>
      <c r="N50" s="3267"/>
      <c r="O50" s="3267"/>
    </row>
    <row r="51" spans="1:35" ht="20.45" customHeight="1">
      <c r="A51" s="2338"/>
      <c r="B51" s="3317" t="s">
        <v>1346</v>
      </c>
      <c r="C51" s="3317"/>
      <c r="D51" s="1024"/>
      <c r="E51" s="319"/>
      <c r="F51" s="2232"/>
      <c r="G51" s="3302"/>
      <c r="H51" s="2135" t="s">
        <v>2135</v>
      </c>
      <c r="I51" s="2134"/>
      <c r="J51" s="2310" t="s">
        <v>1347</v>
      </c>
      <c r="K51" s="3268" t="s">
        <v>1348</v>
      </c>
      <c r="L51" s="3268"/>
      <c r="M51" s="2310" t="s">
        <v>1349</v>
      </c>
      <c r="N51" s="2310" t="s">
        <v>1350</v>
      </c>
      <c r="O51" s="2310" t="s">
        <v>1351</v>
      </c>
    </row>
    <row r="52" spans="1:35" ht="24" customHeight="1">
      <c r="A52" s="2152" t="s">
        <v>1352</v>
      </c>
      <c r="B52" s="3317" t="s">
        <v>1353</v>
      </c>
      <c r="C52" s="3317"/>
      <c r="D52" s="1024">
        <f ca="1">ROUND(D45*'数据-取费表'!B41/(1+'数据-取费表'!C42),0)</f>
        <v>1645</v>
      </c>
      <c r="E52" s="1256" t="s">
        <v>1354</v>
      </c>
      <c r="F52" s="2339">
        <f>'数据-取费表'!B41</f>
        <v>5.6000000000000001E-2</v>
      </c>
      <c r="G52" s="2340"/>
      <c r="H52" s="2330"/>
      <c r="I52" s="1669"/>
      <c r="J52" s="2309">
        <v>1</v>
      </c>
      <c r="K52" s="3294" t="s">
        <v>1355</v>
      </c>
      <c r="L52" s="3294"/>
      <c r="M52" s="2311">
        <f ca="1">D48</f>
        <v>1645</v>
      </c>
      <c r="N52" s="2309" t="str">
        <f>E48</f>
        <v>销售额×税（费）率</v>
      </c>
      <c r="O52" s="2312">
        <f>F48</f>
        <v>5.6000000000000001E-2</v>
      </c>
    </row>
    <row r="53" spans="1:35" ht="12" customHeight="1">
      <c r="A53" s="2152" t="s">
        <v>1356</v>
      </c>
      <c r="B53" s="3318" t="s">
        <v>2290</v>
      </c>
      <c r="C53" s="3319"/>
      <c r="D53" s="1024">
        <f ca="1">ROUND(D45*'数据-取费表'!B41/(1+'数据-取费表'!C42),0)</f>
        <v>1645</v>
      </c>
      <c r="E53" s="1256" t="s">
        <v>1354</v>
      </c>
      <c r="F53" s="2339">
        <f>'数据-取费表'!B41</f>
        <v>5.6000000000000001E-2</v>
      </c>
      <c r="G53" s="2340"/>
      <c r="H53" s="2330"/>
      <c r="I53" s="1669"/>
      <c r="J53" s="2309">
        <v>2</v>
      </c>
      <c r="K53" s="3294" t="s">
        <v>1357</v>
      </c>
      <c r="L53" s="3294"/>
      <c r="M53" s="2311">
        <f t="shared" ref="M53:O54" ca="1" si="0">D55</f>
        <v>15</v>
      </c>
      <c r="N53" s="2309" t="str">
        <f t="shared" si="0"/>
        <v>销售额×税（费）率</v>
      </c>
      <c r="O53" s="2312">
        <f t="shared" si="0"/>
        <v>5.0000000000000001E-4</v>
      </c>
    </row>
    <row r="54" spans="1:35" ht="12" customHeight="1">
      <c r="A54" s="2152" t="s">
        <v>1358</v>
      </c>
      <c r="B54" s="3318" t="s">
        <v>2291</v>
      </c>
      <c r="C54" s="3319"/>
      <c r="D54" s="1024">
        <f ca="1">C68</f>
        <v>1646</v>
      </c>
      <c r="E54" s="319" t="s">
        <v>1359</v>
      </c>
      <c r="F54" s="2339">
        <f>'数据-取费表'!B41</f>
        <v>5.6000000000000001E-2</v>
      </c>
      <c r="G54" s="2340"/>
      <c r="H54" s="2341"/>
      <c r="I54" s="1669"/>
      <c r="J54" s="2309">
        <v>3</v>
      </c>
      <c r="K54" s="3294" t="s">
        <v>1360</v>
      </c>
      <c r="L54" s="3294"/>
      <c r="M54" s="2311">
        <f t="shared" ca="1" si="0"/>
        <v>826</v>
      </c>
      <c r="N54" s="2309" t="str">
        <f t="shared" si="0"/>
        <v>增值额×税（费）率</v>
      </c>
      <c r="O54" s="2313" t="str">
        <f t="shared" si="0"/>
        <v>——</v>
      </c>
    </row>
    <row r="55" spans="1:35" ht="24" customHeight="1">
      <c r="A55" s="3354" t="s">
        <v>1361</v>
      </c>
      <c r="B55" s="3332"/>
      <c r="C55" s="3332"/>
      <c r="D55" s="12">
        <f ca="1">IF(H55="个人住宅",0,ROUND(D45*I55,0))</f>
        <v>15</v>
      </c>
      <c r="E55" s="1256" t="s">
        <v>1362</v>
      </c>
      <c r="F55" s="2339">
        <f>IF(H55="正常",I55,"免征")</f>
        <v>5.0000000000000001E-4</v>
      </c>
      <c r="G55" s="2340"/>
      <c r="H55" s="2336" t="s">
        <v>3497</v>
      </c>
      <c r="I55" s="157">
        <f>'数据-取费表'!B49</f>
        <v>5.0000000000000001E-4</v>
      </c>
      <c r="J55" s="2309" t="str">
        <f>IF(H59="非个人房产","",4)</f>
        <v/>
      </c>
      <c r="K55" s="3294" t="str">
        <f>IF(H59="非个人房产","——","个人所得税")</f>
        <v>——</v>
      </c>
      <c r="L55" s="3294"/>
      <c r="M55" s="2314" t="str">
        <f>D59</f>
        <v>——</v>
      </c>
      <c r="N55" s="1882" t="str">
        <f>E59</f>
        <v>——</v>
      </c>
      <c r="O55" s="2315" t="str">
        <f>F59</f>
        <v>——</v>
      </c>
    </row>
    <row r="56" spans="1:35" ht="24.75">
      <c r="A56" s="3354" t="s">
        <v>1363</v>
      </c>
      <c r="B56" s="3332"/>
      <c r="C56" s="3332"/>
      <c r="D56" s="12">
        <f ca="1">IF(H56="个人住宅",D57,D58)</f>
        <v>826</v>
      </c>
      <c r="E56" s="1256" t="s">
        <v>1364</v>
      </c>
      <c r="F56" s="2339" t="str">
        <f>IF(H56="正常",F58,"免征")</f>
        <v>——</v>
      </c>
      <c r="G56" s="2342" t="s">
        <v>1365</v>
      </c>
      <c r="H56" s="2343" t="s">
        <v>3497</v>
      </c>
      <c r="I56" s="1670"/>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2.75">
      <c r="A57" s="2152" t="s">
        <v>1341</v>
      </c>
      <c r="B57" s="3318" t="s">
        <v>1366</v>
      </c>
      <c r="C57" s="3319"/>
      <c r="D57" s="1478">
        <v>0</v>
      </c>
      <c r="E57" s="316" t="s">
        <v>1343</v>
      </c>
      <c r="F57" s="294"/>
      <c r="G57" s="2340"/>
      <c r="H57" s="2344"/>
      <c r="I57" s="1670"/>
      <c r="J57" s="3294">
        <f>IF(AND(J55="",J56=""),4,IF(项目基本情况!K6="上海银行",'结果表-住宅'!J56+1,'结果表-住宅'!J55+1))</f>
        <v>4</v>
      </c>
      <c r="K57" s="3294" t="s">
        <v>1367</v>
      </c>
      <c r="L57" s="2316" t="s">
        <v>1368</v>
      </c>
      <c r="M57" s="2317"/>
      <c r="N57" s="2318">
        <f ca="1">SUMIF(M52:M56,"&lt;9e307")</f>
        <v>2486</v>
      </c>
      <c r="O57" s="2319"/>
      <c r="P57" s="2463">
        <f ca="1">N57/M49</f>
        <v>8.0575632839594208E-2</v>
      </c>
    </row>
    <row r="58" spans="1:35" ht="24.75">
      <c r="A58" s="2152" t="s">
        <v>1352</v>
      </c>
      <c r="B58" s="3318" t="s">
        <v>1369</v>
      </c>
      <c r="C58" s="3317"/>
      <c r="D58" s="12">
        <f ca="1">IF(H58="转让取得",C81,C97)</f>
        <v>826</v>
      </c>
      <c r="E58" s="1256" t="s">
        <v>1364</v>
      </c>
      <c r="F58" s="294" t="s">
        <v>28</v>
      </c>
      <c r="G58" s="2340"/>
      <c r="H58" s="2343" t="s">
        <v>3597</v>
      </c>
      <c r="I58" s="1670"/>
      <c r="J58" s="3294"/>
      <c r="K58" s="3294"/>
      <c r="L58" s="2316" t="s">
        <v>1370</v>
      </c>
      <c r="M58" s="2320"/>
      <c r="N58" s="2321" t="str">
        <f ca="1">NUMBERSTRING(INT(N57*10000),2)&amp;"元整"</f>
        <v>贰仟肆佰捌拾陆万元整</v>
      </c>
      <c r="O58" s="2322"/>
    </row>
    <row r="59" spans="1:35" ht="24.75" thickBot="1">
      <c r="A59" s="3298" t="s">
        <v>1371</v>
      </c>
      <c r="B59" s="3299"/>
      <c r="C59" s="3299"/>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3598</v>
      </c>
      <c r="I59" s="2136" t="s">
        <v>2136</v>
      </c>
      <c r="J59" s="3296">
        <f>J57+1</f>
        <v>5</v>
      </c>
      <c r="K59" s="3294" t="s">
        <v>1372</v>
      </c>
      <c r="L59" s="2309" t="s">
        <v>1368</v>
      </c>
      <c r="M59" s="2323"/>
      <c r="N59" s="2324">
        <f ca="1">M49-N57</f>
        <v>28367</v>
      </c>
      <c r="O59" s="2325"/>
    </row>
    <row r="60" spans="1:35" ht="12" customHeight="1">
      <c r="A60" s="1671"/>
      <c r="B60" s="646"/>
      <c r="C60" s="646"/>
      <c r="D60" s="646"/>
      <c r="E60" s="1466"/>
      <c r="F60" s="1670"/>
      <c r="G60" s="1670"/>
      <c r="H60" s="151"/>
      <c r="I60" s="121"/>
      <c r="J60" s="3297"/>
      <c r="K60" s="3294"/>
      <c r="L60" s="2316" t="s">
        <v>1370</v>
      </c>
      <c r="M60" s="2320"/>
      <c r="N60" s="2321" t="str">
        <f ca="1">NUMBERSTRING(INT(N59*10000),2)&amp;"元整"</f>
        <v>贰亿捌仟叁佰陆拾柒万元整</v>
      </c>
      <c r="O60" s="2322"/>
    </row>
    <row r="61" spans="1:35" ht="13.5" thickBot="1">
      <c r="A61" s="3353" t="s">
        <v>1373</v>
      </c>
      <c r="B61" s="3353"/>
      <c r="C61" s="3353"/>
      <c r="D61" s="3353"/>
      <c r="E61" s="3353"/>
      <c r="F61" s="1670"/>
      <c r="G61" s="1670"/>
      <c r="H61" s="151"/>
      <c r="I61" s="121"/>
      <c r="J61" s="2309">
        <f>J59+1</f>
        <v>6</v>
      </c>
      <c r="K61" s="3294" t="s">
        <v>1374</v>
      </c>
      <c r="L61" s="3294"/>
      <c r="M61" s="2326"/>
      <c r="N61" s="2327">
        <f ca="1">ROUND(N59*10000/'数据-汇总表'!E3,0)</f>
        <v>1309166</v>
      </c>
      <c r="O61" s="2328"/>
    </row>
    <row r="62" spans="1:35" ht="12.75">
      <c r="A62" s="3313" t="s">
        <v>1375</v>
      </c>
      <c r="B62" s="3314"/>
      <c r="C62" s="1864"/>
      <c r="D62" s="1864" t="s">
        <v>1376</v>
      </c>
      <c r="E62" s="158" t="s">
        <v>1377</v>
      </c>
      <c r="F62" s="1670"/>
      <c r="G62" s="1670"/>
      <c r="H62" s="151"/>
      <c r="I62" s="121"/>
    </row>
    <row r="63" spans="1:35" ht="12.75">
      <c r="A63" s="165" t="s">
        <v>330</v>
      </c>
      <c r="B63" s="159" t="s">
        <v>1378</v>
      </c>
      <c r="C63" s="2349">
        <f ca="1">ROUND((C64+C65)/(1+'数据-取费表'!C42),0)</f>
        <v>29384</v>
      </c>
      <c r="D63" s="159"/>
      <c r="E63" s="160"/>
      <c r="F63" s="1670"/>
      <c r="G63" s="1670"/>
      <c r="H63" s="151"/>
      <c r="I63" s="121"/>
      <c r="J63" s="3277" t="s">
        <v>1379</v>
      </c>
      <c r="K63" s="1245" t="s">
        <v>1380</v>
      </c>
      <c r="L63" s="1245">
        <f ca="1">IF(M49&gt;10000,M49*0.5%,IF(AND(M49&gt;1000,M49&lt;=10000),M49*1%,IF(AND(M49&gt;100,M49&lt;=1000),M49*3%,IF(AND(M49&gt;10,M49&lt;=100),M49*5%,M49*8%))))</f>
        <v>154.26500000000001</v>
      </c>
      <c r="M63" s="294">
        <f ca="1">ROUND(L63,1)</f>
        <v>154.30000000000001</v>
      </c>
      <c r="N63" s="2329"/>
      <c r="Z63" s="1623"/>
      <c r="AI63" s="1561"/>
    </row>
    <row r="64" spans="1:35" ht="14.25" customHeight="1">
      <c r="A64" s="161" t="s">
        <v>325</v>
      </c>
      <c r="B64" s="162" t="s">
        <v>1381</v>
      </c>
      <c r="C64" s="2350">
        <f ca="1">D45</f>
        <v>30853</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154.26500000000001</v>
      </c>
      <c r="M64" s="294">
        <f t="shared" ref="M64:M65" ca="1" si="1">ROUND(L64,1)</f>
        <v>154.30000000000001</v>
      </c>
      <c r="N64" s="2330" t="s">
        <v>1383</v>
      </c>
      <c r="Z64" s="1623"/>
      <c r="AI64" s="1561"/>
    </row>
    <row r="65" spans="1:35" ht="14.25" customHeight="1">
      <c r="A65" s="161" t="s">
        <v>326</v>
      </c>
      <c r="B65" s="162" t="s">
        <v>1384</v>
      </c>
      <c r="C65" s="2351"/>
      <c r="D65" s="162"/>
      <c r="E65" s="164"/>
      <c r="F65" s="1670"/>
      <c r="G65" s="1670"/>
      <c r="H65" s="151"/>
      <c r="I65" s="121"/>
      <c r="J65" s="3277"/>
      <c r="K65" s="1245" t="s">
        <v>1385</v>
      </c>
      <c r="L65" s="1245">
        <f ca="1">IF(M49&gt;1000,M49*0.1%,IF(AND(M49&gt;500,M49&lt;=1000),M49*0.5%,IF(AND(M49&gt;50,M49&lt;=500),M49*1%,IF(AND(M49&gt;1,M49&lt;=50),M49*1.5%))))</f>
        <v>30.853000000000002</v>
      </c>
      <c r="M65" s="294">
        <f t="shared" ca="1" si="1"/>
        <v>30.9</v>
      </c>
      <c r="N65" s="2330" t="s">
        <v>1383</v>
      </c>
      <c r="Z65" s="1623"/>
      <c r="AI65" s="1561"/>
    </row>
    <row r="66" spans="1:35" ht="14.25" customHeight="1">
      <c r="A66" s="165" t="s">
        <v>327</v>
      </c>
      <c r="B66" s="166" t="s">
        <v>1386</v>
      </c>
      <c r="C66" s="2352"/>
      <c r="D66" s="166" t="s">
        <v>26</v>
      </c>
      <c r="E66" s="1251" t="s">
        <v>671</v>
      </c>
      <c r="F66" s="1670"/>
      <c r="G66" s="1670"/>
      <c r="H66" s="151"/>
      <c r="I66" s="121"/>
      <c r="J66" s="3277"/>
      <c r="K66" s="1245" t="s">
        <v>1387</v>
      </c>
      <c r="L66" s="1245">
        <f ca="1">M49*0.5%</f>
        <v>154.26500000000001</v>
      </c>
      <c r="M66" s="294">
        <f ca="1">IF(L66&gt;0.5,0.5,ROUND(L66,0))</f>
        <v>0.5</v>
      </c>
      <c r="N66" s="2330" t="s">
        <v>1388</v>
      </c>
      <c r="Z66" s="1623"/>
      <c r="AI66" s="1561"/>
    </row>
    <row r="67" spans="1:35" ht="14.25" customHeight="1">
      <c r="A67" s="165" t="s">
        <v>328</v>
      </c>
      <c r="B67" s="166" t="s">
        <v>1389</v>
      </c>
      <c r="C67" s="2353">
        <f ca="1">C63-C66</f>
        <v>29384</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10.3353</v>
      </c>
      <c r="M67" s="294">
        <f ca="1">ROUND(L67*0.9,1)</f>
        <v>9.3000000000000007</v>
      </c>
      <c r="N67" s="2329"/>
      <c r="Z67" s="1623"/>
      <c r="AI67" s="1561"/>
    </row>
    <row r="68" spans="1:35" ht="14.25" customHeight="1" thickBot="1">
      <c r="A68" s="168" t="s">
        <v>329</v>
      </c>
      <c r="B68" s="169" t="s">
        <v>1391</v>
      </c>
      <c r="C68" s="2354">
        <f ca="1">IF(C67&lt;=0,0,ROUND(C67*D68,0))</f>
        <v>1646</v>
      </c>
      <c r="D68" s="2355">
        <f>'数据-取费表'!B41</f>
        <v>5.6000000000000001E-2</v>
      </c>
      <c r="E68" s="170"/>
      <c r="F68" s="1670"/>
      <c r="G68" s="1670"/>
      <c r="H68" s="151"/>
      <c r="I68" s="121"/>
      <c r="J68" s="3277"/>
      <c r="K68" s="1245" t="s">
        <v>1392</v>
      </c>
      <c r="L68" s="1245">
        <f ca="1">IF(M49&gt;10000,M49*0.5%,IF(AND(M49&gt;5000,M49&lt;=10000),M49*1%,IF(AND(M49&gt;1000,M49&lt;=5000),M49*2%,IF(AND(M49&gt;200,M49&lt;=1000),M49*3%,M49*5%))))</f>
        <v>154.26500000000001</v>
      </c>
      <c r="M68" s="294">
        <f ca="1">ROUND(L68,1)</f>
        <v>154.30000000000001</v>
      </c>
      <c r="N68" s="2329"/>
      <c r="Z68" s="1623"/>
      <c r="AI68" s="1561"/>
    </row>
    <row r="69" spans="1:35" ht="16.5" customHeight="1">
      <c r="A69" s="1672"/>
      <c r="B69" s="1673"/>
      <c r="C69" s="1674"/>
      <c r="D69" s="1675"/>
      <c r="E69" s="1676"/>
      <c r="F69" s="1466"/>
      <c r="G69" s="1466"/>
      <c r="H69" s="1467"/>
      <c r="I69" s="646"/>
      <c r="J69" s="3277"/>
      <c r="K69" s="1245" t="s">
        <v>1393</v>
      </c>
      <c r="L69" s="1245"/>
      <c r="M69" s="294">
        <f ca="1">ROUND(SUM(M63:M68),0)</f>
        <v>504</v>
      </c>
      <c r="N69" s="2331">
        <f ca="1">M69/M49</f>
        <v>1.633552652902473E-2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29384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176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176</v>
      </c>
      <c r="D78" s="2362">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29208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165.95454545454547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17463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29384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26631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14568</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f>面积信息!B5</f>
        <v>14137</v>
      </c>
      <c r="D88" s="2362"/>
      <c r="E88" s="185" t="s">
        <v>1413</v>
      </c>
      <c r="F88" s="2147"/>
      <c r="G88" s="186" t="s">
        <v>1414</v>
      </c>
      <c r="H88" s="1684" t="s">
        <v>3599</v>
      </c>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431</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79" t="s">
        <v>2128</v>
      </c>
      <c r="H90" s="3280"/>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IF(H91="——",'成本法-住宅'!C33,I91)</f>
        <v>5782</v>
      </c>
      <c r="D91" s="2362"/>
      <c r="E91" s="3310" t="s">
        <v>1419</v>
      </c>
      <c r="F91" s="3311"/>
      <c r="G91" s="3311"/>
      <c r="H91" s="1685" t="s">
        <v>3600</v>
      </c>
      <c r="I91" s="1686">
        <f>面积信息!C5</f>
        <v>5782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2035</v>
      </c>
      <c r="D92" s="2368">
        <v>0.1</v>
      </c>
      <c r="E92" s="3310" t="s">
        <v>1422</v>
      </c>
      <c r="F92" s="3311"/>
      <c r="G92" s="3311"/>
      <c r="H92" s="3312"/>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176</v>
      </c>
      <c r="D93" s="2362">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4070</v>
      </c>
      <c r="D94" s="2362">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2753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0.10337576508580226</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826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5"/>
      <c r="E100" s="3260" t="s">
        <v>1429</v>
      </c>
      <c r="F100" s="3260"/>
      <c r="G100" s="3260"/>
      <c r="H100" s="3295"/>
      <c r="I100" s="121"/>
    </row>
    <row r="101" spans="1:35" ht="18.75" customHeight="1">
      <c r="A101" s="3303" t="s">
        <v>1430</v>
      </c>
      <c r="B101" s="3304"/>
      <c r="C101" s="2370" t="str">
        <f>C4</f>
        <v>比较法-住宅</v>
      </c>
      <c r="D101" s="2371" t="str">
        <f>D4</f>
        <v>成本法-住宅</v>
      </c>
      <c r="E101" s="3273" t="s">
        <v>1431</v>
      </c>
      <c r="F101" s="3274"/>
      <c r="G101" s="1687" t="s">
        <v>1432</v>
      </c>
      <c r="H101" s="2380">
        <f ca="1">H118</f>
        <v>645</v>
      </c>
      <c r="I101" s="121"/>
    </row>
    <row r="102" spans="1:35" ht="18.75" customHeight="1">
      <c r="A102" s="3305" t="s">
        <v>1433</v>
      </c>
      <c r="B102" s="2369" t="s">
        <v>1432</v>
      </c>
      <c r="C102" s="2370">
        <f ca="1">IF(D32="楼面单价",ROUND(C19,0),C19)</f>
        <v>707</v>
      </c>
      <c r="D102" s="2371">
        <f ca="1">IF(D32="楼面单价",ROUND(D19,0),D19)</f>
        <v>500</v>
      </c>
      <c r="E102" s="3273"/>
      <c r="F102" s="3274"/>
      <c r="G102" s="1687" t="s">
        <v>1434</v>
      </c>
      <c r="H102" s="2340">
        <f ca="1">I118</f>
        <v>34698</v>
      </c>
      <c r="I102" s="121"/>
    </row>
    <row r="103" spans="1:35" ht="42.75" customHeight="1">
      <c r="A103" s="3305"/>
      <c r="B103" s="2369" t="s">
        <v>1434</v>
      </c>
      <c r="C103" s="2372">
        <f ca="1">C20</f>
        <v>38044</v>
      </c>
      <c r="D103" s="2373">
        <f ca="1">D20</f>
        <v>26890</v>
      </c>
      <c r="E103" s="3265" t="s">
        <v>1435</v>
      </c>
      <c r="F103" s="3266"/>
      <c r="G103" s="1688" t="s">
        <v>1436</v>
      </c>
      <c r="H103" s="2380">
        <f>IF(D36="正常操作",H104+H105+H106,H105+H106)</f>
        <v>0</v>
      </c>
      <c r="I103" s="121"/>
    </row>
    <row r="104" spans="1:35" ht="18.75" customHeight="1">
      <c r="A104" s="3305" t="s">
        <v>1437</v>
      </c>
      <c r="B104" s="2374" t="s">
        <v>1432</v>
      </c>
      <c r="C104" s="2375">
        <f ca="1">H118</f>
        <v>645</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34698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6" t="str">
        <f>IF(项目基本情况!E8="已注销","——","3.房地产抵押价值")</f>
        <v>3.房地产抵押价值</v>
      </c>
      <c r="F107" s="3274"/>
      <c r="G107" s="1687" t="s">
        <v>1432</v>
      </c>
      <c r="H107" s="2380">
        <f ca="1">IF(E107="——","——",H101-H103)</f>
        <v>645</v>
      </c>
      <c r="I107" s="121"/>
    </row>
    <row r="108" spans="1:35" ht="18.75" customHeight="1">
      <c r="A108" s="121"/>
      <c r="B108" s="121"/>
      <c r="C108" s="121"/>
      <c r="D108" s="121"/>
      <c r="E108" s="3306"/>
      <c r="F108" s="3274"/>
      <c r="G108" s="1687" t="s">
        <v>1434</v>
      </c>
      <c r="H108" s="2340">
        <f ca="1">IF(H107=H101,H102,ROUND(H107*10000/'数据-汇总表'!E3,0))</f>
        <v>34698</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3" t="str">
        <f>IF(E109="——","——",H101-H105-H106)</f>
        <v>——</v>
      </c>
      <c r="I109" s="121"/>
    </row>
    <row r="110" spans="1:35" ht="18.75" customHeight="1">
      <c r="A110" s="121"/>
      <c r="B110" s="121"/>
      <c r="C110" s="121"/>
      <c r="D110" s="121"/>
      <c r="E110" s="3306"/>
      <c r="F110" s="3274"/>
      <c r="G110" s="1687"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08"/>
      <c r="F112" s="3309"/>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5" t="str">
        <f>项目基本情况!S2</f>
        <v>北京市房山区揽秀南街15号院5号楼5-1-4等47套住宅、13号院10幢-1-1006等1147个地下车位房地产</v>
      </c>
      <c r="B118" s="2149">
        <f>M18</f>
        <v>185.94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645</v>
      </c>
      <c r="I118" s="2149">
        <f ca="1">ROUND(IF(D32="楼面单价",C32,H118*10000/B118),0)</f>
        <v>34698</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陆佰肆拾伍万元整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645</v>
      </c>
      <c r="E122" s="3283"/>
      <c r="F122" s="3283"/>
      <c r="G122" s="3283"/>
      <c r="H122" s="3283"/>
      <c r="I122" s="3284"/>
      <c r="AA122" s="684"/>
    </row>
    <row r="123" spans="1:27" ht="18.75" customHeight="1">
      <c r="A123" s="3281" t="s">
        <v>1452</v>
      </c>
      <c r="B123" s="3281"/>
      <c r="C123" s="3281"/>
      <c r="D123" s="3287" t="str">
        <f ca="1">NUMBERSTRING(INT(D122*10000),2)&amp;"元整"</f>
        <v>陆佰肆拾伍万元整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172.5633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7964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35898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35898</v>
      </c>
      <c r="D8" s="214"/>
      <c r="E8" s="212"/>
      <c r="F8" s="213"/>
      <c r="G8" s="1714"/>
    </row>
    <row r="9" spans="1:8" s="206" customFormat="1" ht="13.5" customHeight="1">
      <c r="A9" s="733" t="s">
        <v>355</v>
      </c>
      <c r="B9" s="216" t="s">
        <v>1478</v>
      </c>
      <c r="C9" s="217">
        <f ca="1">ROUND(D9*E9,0)</f>
        <v>29750</v>
      </c>
      <c r="D9" s="795">
        <f ca="1">IF(B1="",'数据-汇总表'!E5,IF(INDIRECT("'数据-取费表'!c"&amp;$G$1)="住宅",INDIRECT("'数据-取费表'!k"&amp;$G$1),0))</f>
        <v>185.94</v>
      </c>
      <c r="E9" s="217">
        <f>'数据-取费表'!B27</f>
        <v>160</v>
      </c>
      <c r="F9" s="213"/>
      <c r="G9" s="218"/>
    </row>
    <row r="10" spans="1:8" s="206" customFormat="1" ht="13.5" customHeight="1">
      <c r="A10" s="733" t="s">
        <v>356</v>
      </c>
      <c r="B10" s="216" t="s">
        <v>1480</v>
      </c>
      <c r="C10" s="217">
        <f ca="1">ROUND(D10*E10,0)</f>
        <v>6148</v>
      </c>
      <c r="D10" s="795">
        <f ca="1">IF(B1="",'数据-汇总表'!E6,IF(INDIRECT("'数据-取费表'!c"&amp;$G$1)="住宅",INDIRECT("'数据-取费表'!s"&amp;$G$1),INDIRECT("'数据-取费表'!k"&amp;$G$1)+INDIRECT("'数据-取费表'!s"&amp;$G$1)))</f>
        <v>30.740000000000009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43336</v>
      </c>
      <c r="D19" s="204">
        <f ca="1">D9+D10</f>
        <v>216.68</v>
      </c>
      <c r="E19" s="203">
        <f>'数据-取费表'!B31</f>
        <v>200</v>
      </c>
      <c r="F19" s="223"/>
      <c r="G19" s="1714"/>
    </row>
    <row r="20" spans="1:7" s="206" customFormat="1" ht="13.5" customHeight="1">
      <c r="A20" s="247" t="s">
        <v>1574</v>
      </c>
      <c r="B20" s="202" t="s">
        <v>1575</v>
      </c>
      <c r="C20" s="224">
        <f ca="1">ROUND((C5+C19)*F20,0)</f>
        <v>1585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4873</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2639</v>
      </c>
      <c r="D24" s="230"/>
      <c r="E24" s="230"/>
      <c r="F24" s="231"/>
      <c r="G24" s="232" t="s">
        <v>1586</v>
      </c>
    </row>
    <row r="25" spans="1:7" s="206" customFormat="1" ht="24">
      <c r="A25" s="734" t="s">
        <v>1476</v>
      </c>
      <c r="B25" s="207" t="s">
        <v>1587</v>
      </c>
      <c r="C25" s="230">
        <f ca="1">ROUND(IF('数据-取费表'!B22&lt;=1,C20*F22*'数据-取费表'!B22/2,C20*(POWER((1+F22),'数据-取费表'!B22/2)-1)),0)</f>
        <v>48</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11315</v>
      </c>
      <c r="D27" s="227">
        <f ca="1">C29</f>
        <v>4.1999999999999997E-3</v>
      </c>
      <c r="E27" s="228" t="s">
        <v>1514</v>
      </c>
      <c r="F27" s="238">
        <f ca="1">IF(B1="",'数据-取费表'!Q16,INDIRECT("'数据-取费表'!q"&amp;$G$1))</f>
        <v>0.14000000000000001</v>
      </c>
      <c r="G27" s="239" t="s">
        <v>1515</v>
      </c>
    </row>
    <row r="28" spans="1:7" s="206" customFormat="1" ht="13.5" customHeight="1">
      <c r="A28" s="734" t="s">
        <v>346</v>
      </c>
      <c r="B28" s="240" t="s">
        <v>1516</v>
      </c>
      <c r="C28" s="241">
        <f ca="1">ROUND((C5+C19+C20)*F27,0)</f>
        <v>11315</v>
      </c>
      <c r="D28" s="227"/>
      <c r="E28" s="228"/>
      <c r="F28" s="238"/>
      <c r="G28" s="239"/>
    </row>
    <row r="29" spans="1:7" s="206" customFormat="1" ht="13.5" customHeight="1">
      <c r="A29" s="734" t="s">
        <v>347</v>
      </c>
      <c r="B29" s="240" t="s">
        <v>1517</v>
      </c>
      <c r="C29" s="230">
        <f ca="1">ROUND(C21*F27,4)</f>
        <v>4.1999999999999997E-3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106414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1490204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1300080</v>
      </c>
      <c r="D34" s="209"/>
      <c r="E34" s="212"/>
      <c r="F34" s="249"/>
      <c r="G34" s="211"/>
    </row>
    <row r="35" spans="1:7" ht="13.5" customHeight="1">
      <c r="A35" s="734" t="s">
        <v>351</v>
      </c>
      <c r="B35" s="207" t="s">
        <v>1527</v>
      </c>
      <c r="C35" s="212">
        <f ca="1">ROUND(C34*F35,0)</f>
        <v>65004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55782</v>
      </c>
      <c r="D36" s="212"/>
      <c r="E36" s="212"/>
      <c r="F36" s="251">
        <f>'数据-取费表'!B34</f>
        <v>0.05</v>
      </c>
      <c r="G36" s="252" t="s">
        <v>1530</v>
      </c>
    </row>
    <row r="37" spans="1:7" s="250" customFormat="1" ht="13.5" customHeight="1">
      <c r="A37" s="734" t="s">
        <v>353</v>
      </c>
      <c r="B37" s="207" t="s">
        <v>1531</v>
      </c>
      <c r="C37" s="241">
        <f ca="1">ROUND(E37*D37,0)</f>
        <v>43336</v>
      </c>
      <c r="D37" s="209">
        <f ca="1">D19</f>
        <v>216.68</v>
      </c>
      <c r="E37" s="241">
        <f>'数据-取费表'!B35</f>
        <v>200</v>
      </c>
      <c r="F37" s="251"/>
      <c r="G37" s="253"/>
    </row>
    <row r="38" spans="1:7" ht="13.5" customHeight="1">
      <c r="A38" s="734" t="s">
        <v>354</v>
      </c>
      <c r="B38" s="207" t="s">
        <v>1533</v>
      </c>
      <c r="C38" s="212">
        <f ca="1">ROUND(C34*F38,0)</f>
        <v>26002</v>
      </c>
      <c r="D38" s="212"/>
      <c r="E38" s="212"/>
      <c r="F38" s="251">
        <f>'数据-取费表'!B36</f>
        <v>0.02</v>
      </c>
      <c r="G38" s="211" t="s">
        <v>1528</v>
      </c>
    </row>
    <row r="39" spans="1:7" s="206" customFormat="1" ht="13.5" customHeight="1">
      <c r="A39" s="247" t="s">
        <v>1534</v>
      </c>
      <c r="B39" s="202" t="s">
        <v>1535</v>
      </c>
      <c r="C39" s="224">
        <f ca="1">ROUND(C33*F20,0)</f>
        <v>29804</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45600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44706</v>
      </c>
      <c r="D42" s="230"/>
      <c r="E42" s="230"/>
      <c r="F42" s="231"/>
      <c r="G42" s="3360" t="s">
        <v>1591</v>
      </c>
    </row>
    <row r="43" spans="1:7" ht="13.5" customHeight="1">
      <c r="A43" s="734" t="s">
        <v>347</v>
      </c>
      <c r="B43" s="207" t="s">
        <v>1545</v>
      </c>
      <c r="C43" s="230">
        <f ca="1">ROUND(IF('数据-取费表'!B22&lt;=1,C39*F22*'数据-取费表'!B20/2,C39*(POWER((1+F22),'数据-取费表'!B20/2)-1)),0)</f>
        <v>894</v>
      </c>
      <c r="D43" s="230"/>
      <c r="E43" s="230"/>
      <c r="F43" s="231"/>
      <c r="G43" s="3361"/>
    </row>
    <row r="44" spans="1:7" ht="13.5" customHeight="1">
      <c r="A44" s="734" t="s">
        <v>348</v>
      </c>
      <c r="B44" s="207" t="s">
        <v>1546</v>
      </c>
      <c r="C44" s="230">
        <f ca="1">ROUND(IF('数据-取费表'!B22&lt;=1,C40*F22*'数据-取费表'!B20/2,C40*(POWER((1+F22),'数据-取费表'!B20/2)-1)),4)</f>
        <v>8.9999999999999998E-4</v>
      </c>
      <c r="D44" s="230"/>
      <c r="E44" s="230"/>
      <c r="F44" s="231"/>
      <c r="G44" s="3362"/>
    </row>
    <row r="45" spans="1:7" s="206" customFormat="1" ht="13.5" customHeight="1">
      <c r="A45" s="247" t="s">
        <v>1547</v>
      </c>
      <c r="B45" s="236" t="s">
        <v>1513</v>
      </c>
      <c r="C45" s="237">
        <f ca="1">C46</f>
        <v>212801</v>
      </c>
      <c r="D45" s="227">
        <f ca="1">C47</f>
        <v>4.1999999999999997E-3</v>
      </c>
      <c r="E45" s="228" t="s">
        <v>1539</v>
      </c>
      <c r="F45" s="238">
        <f ca="1">F27</f>
        <v>0.14000000000000001</v>
      </c>
      <c r="G45" s="239" t="s">
        <v>1548</v>
      </c>
    </row>
    <row r="46" spans="1:7" s="206" customFormat="1" ht="13.5" customHeight="1">
      <c r="A46" s="734" t="s">
        <v>346</v>
      </c>
      <c r="B46" s="240" t="s">
        <v>1549</v>
      </c>
      <c r="C46" s="241">
        <f ca="1">ROUND((C33+C39)*F27,0)</f>
        <v>212801</v>
      </c>
      <c r="D46" s="255"/>
      <c r="E46" s="228"/>
      <c r="F46" s="238"/>
      <c r="G46" s="239"/>
    </row>
    <row r="47" spans="1:7" s="206" customFormat="1" ht="13.5" customHeight="1">
      <c r="A47" s="734" t="s">
        <v>347</v>
      </c>
      <c r="B47" s="240" t="s">
        <v>1550</v>
      </c>
      <c r="C47" s="230">
        <f ca="1">ROUND(C40*F27,4)</f>
        <v>4.1999999999999997E-3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1950866</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1619219</v>
      </c>
      <c r="D51" s="224"/>
      <c r="E51" s="224"/>
      <c r="F51" s="256"/>
      <c r="G51" s="226" t="s">
        <v>1560</v>
      </c>
    </row>
    <row r="52" spans="1:7" s="200" customFormat="1" ht="16.5" thickBot="1">
      <c r="A52" s="257" t="s">
        <v>1561</v>
      </c>
      <c r="B52" s="258"/>
      <c r="C52" s="259">
        <f ca="1">C31+C51</f>
        <v>1725633</v>
      </c>
      <c r="D52" s="258"/>
      <c r="E52" s="258"/>
      <c r="F52" s="258"/>
      <c r="G52" s="260"/>
    </row>
    <row r="55" spans="1:7" ht="15">
      <c r="B55" s="262" t="s">
        <v>1562</v>
      </c>
      <c r="C55" s="263"/>
    </row>
    <row r="56" spans="1:7">
      <c r="B56" s="265" t="s">
        <v>802</v>
      </c>
      <c r="C56" s="267">
        <f ca="1">1-C57</f>
        <v>6.2000000000000055E-2</v>
      </c>
    </row>
    <row r="57" spans="1:7">
      <c r="B57" s="265" t="s">
        <v>803</v>
      </c>
      <c r="C57" s="26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北京市房山区揽秀南街15号院5号楼5-1-4等47套住宅、13号院10幢-1-1006等1147个地下车位房地产抵押价值预评估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8</v>
      </c>
    </row>
    <row r="2" spans="1:33" ht="18" customHeight="1">
      <c r="A2" s="193" t="s">
        <v>1462</v>
      </c>
      <c r="B2" s="196">
        <f ca="1">C32</f>
        <v>-5</v>
      </c>
      <c r="C2" s="268" t="s">
        <v>1595</v>
      </c>
      <c r="D2" s="268"/>
      <c r="E2" s="2566"/>
      <c r="F2" s="2566"/>
      <c r="G2" s="2566"/>
      <c r="H2" s="2566"/>
      <c r="I2" s="2566"/>
      <c r="J2" s="2566"/>
      <c r="K2" s="2566"/>
    </row>
    <row r="3" spans="1:33" ht="18" customHeight="1" thickBot="1">
      <c r="A3" s="195" t="s">
        <v>1464</v>
      </c>
      <c r="B3" s="196">
        <f ca="1">ROUND(B2*10000/IF(C1="",'数据-汇总表'!E3,INDIRECT("'数据-取费表'!K"&amp;$K$1)),0)</f>
        <v>-231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216.68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216.68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185.94</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30.740000000000009</v>
      </c>
      <c r="E20" s="21">
        <f>'数据-取费表'!B28</f>
        <v>200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0.14000000000000001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70" zoomScaleNormal="60" zoomScaleSheetLayoutView="70" workbookViewId="0">
      <selection activeCell="N39" sqref="N3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20.25" style="347" customWidth="1"/>
    <col min="8" max="8" width="12.25" style="347" customWidth="1"/>
    <col min="9" max="9" width="18.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3404</v>
      </c>
      <c r="E1" s="3123" t="s">
        <v>3495</v>
      </c>
      <c r="F1" s="1735" t="s">
        <v>3496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707.39009999999996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38044</v>
      </c>
      <c r="C3" s="344" t="s">
        <v>1665</v>
      </c>
      <c r="D3" s="343">
        <f>IF(D1="",'数据-汇总表'!E3,SUMIF('数据-汇总表'!$C19:$C33,D1,'数据-汇总表'!$E19:$E33))</f>
        <v>185.94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79" t="s">
        <v>1667</v>
      </c>
      <c r="D4" s="3380"/>
      <c r="E4" s="3381" t="s">
        <v>1668</v>
      </c>
      <c r="F4" s="3382"/>
      <c r="G4" s="3379" t="s">
        <v>1669</v>
      </c>
      <c r="H4" s="3380"/>
      <c r="I4" s="3379" t="s">
        <v>1670</v>
      </c>
      <c r="J4" s="3380"/>
      <c r="K4" s="1744" t="s">
        <v>1671</v>
      </c>
      <c r="L4" s="2485"/>
      <c r="M4" s="2486"/>
      <c r="N4" s="2486"/>
      <c r="O4" s="2486"/>
      <c r="P4" s="3383" t="s">
        <v>1672</v>
      </c>
      <c r="Q4" s="3384"/>
      <c r="R4" s="3368" t="s">
        <v>1668</v>
      </c>
      <c r="S4" s="3369"/>
      <c r="T4" s="3368" t="s">
        <v>1669</v>
      </c>
      <c r="U4" s="3369"/>
      <c r="V4" s="3391" t="s">
        <v>1670</v>
      </c>
      <c r="W4" s="3391"/>
      <c r="X4" s="1265"/>
      <c r="Y4" s="3368" t="s">
        <v>1672</v>
      </c>
      <c r="Z4" s="3369"/>
      <c r="AA4" s="3363" t="s">
        <v>1668</v>
      </c>
      <c r="AB4" s="3363" t="s">
        <v>1669</v>
      </c>
      <c r="AC4" s="3363" t="s">
        <v>1670</v>
      </c>
    </row>
    <row r="5" spans="1:29" ht="13.9" customHeight="1">
      <c r="A5" s="348"/>
      <c r="B5" s="349"/>
      <c r="C5" s="3372" t="s">
        <v>3498</v>
      </c>
      <c r="D5" s="3373"/>
      <c r="E5" s="3372" t="s">
        <v>3498</v>
      </c>
      <c r="F5" s="3373"/>
      <c r="G5" s="3372" t="s">
        <v>3498</v>
      </c>
      <c r="H5" s="3373"/>
      <c r="I5" s="3372" t="s">
        <v>3498</v>
      </c>
      <c r="J5" s="3373"/>
      <c r="K5" s="1745"/>
      <c r="L5" s="2485"/>
      <c r="M5" s="2486"/>
      <c r="N5" s="2486"/>
      <c r="O5" s="2486"/>
      <c r="P5" s="3385"/>
      <c r="Q5" s="3386"/>
      <c r="R5" s="3370"/>
      <c r="S5" s="3371"/>
      <c r="T5" s="3370"/>
      <c r="U5" s="3371"/>
      <c r="V5" s="3391"/>
      <c r="W5" s="3391"/>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1745" t="s">
        <v>1678</v>
      </c>
      <c r="L6" s="2485"/>
      <c r="M6" s="2486"/>
      <c r="N6" s="2486"/>
      <c r="O6" s="2486"/>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v>45670</v>
      </c>
      <c r="F7" s="357">
        <f>SUMIF(58:58,YEAR(E7)&amp;"-"&amp;MONTH(E7),59:59)</f>
        <v>100</v>
      </c>
      <c r="G7" s="356">
        <v>45651</v>
      </c>
      <c r="H7" s="355">
        <f>SUMIF(58:58,YEAR(G7)&amp;"-"&amp;MONTH(G7),59:59)</f>
        <v>100</v>
      </c>
      <c r="I7" s="356">
        <v>45610</v>
      </c>
      <c r="J7" s="355">
        <f>SUMIF(58:58,YEAR(I7)&amp;"-"&amp;MONTH(I7),59:59)</f>
        <v>100</v>
      </c>
      <c r="K7" s="1746"/>
      <c r="L7" s="2487"/>
      <c r="M7" s="2439"/>
      <c r="N7" s="2439"/>
      <c r="O7" s="2439"/>
      <c r="P7" s="3366" t="s">
        <v>1680</v>
      </c>
      <c r="Q7" s="3392"/>
      <c r="R7" s="664" t="s">
        <v>20</v>
      </c>
      <c r="S7" s="665">
        <f t="shared" ref="S7:S15" si="0">F7</f>
        <v>100</v>
      </c>
      <c r="T7" s="664" t="s">
        <v>20</v>
      </c>
      <c r="U7" s="665">
        <f t="shared" ref="U7:U15" si="1">H7</f>
        <v>100</v>
      </c>
      <c r="V7" s="664" t="s">
        <v>20</v>
      </c>
      <c r="W7" s="665">
        <f t="shared" ref="W7:W15" si="2">J7</f>
        <v>100</v>
      </c>
      <c r="X7" s="666"/>
      <c r="Y7" s="3366" t="s">
        <v>1680</v>
      </c>
      <c r="Z7" s="3367"/>
      <c r="AA7" s="50">
        <f>D7/F7</f>
        <v>1</v>
      </c>
      <c r="AB7" s="50">
        <f>D7/H7</f>
        <v>1</v>
      </c>
      <c r="AC7" s="50">
        <f>D7/J7</f>
        <v>1</v>
      </c>
    </row>
    <row r="8" spans="1:29" s="102" customFormat="1" ht="15.75" thickBot="1">
      <c r="A8" s="352" t="s">
        <v>1681</v>
      </c>
      <c r="B8" s="353"/>
      <c r="C8" s="358" t="s">
        <v>3497</v>
      </c>
      <c r="D8" s="355">
        <v>100</v>
      </c>
      <c r="E8" s="358" t="s">
        <v>3497</v>
      </c>
      <c r="F8" s="357">
        <f>SUMIF(61:61,E8,62:62)-SUMIF(61:61,C8,62:62)+100</f>
        <v>100</v>
      </c>
      <c r="G8" s="358" t="s">
        <v>3497</v>
      </c>
      <c r="H8" s="355">
        <f>SUMIF(61:61,G8,62:62)-SUMIF(61:61,C8,62:62)+100</f>
        <v>100</v>
      </c>
      <c r="I8" s="358" t="s">
        <v>3497</v>
      </c>
      <c r="J8" s="355">
        <f>SUMIF(61:61,I8,62:62)-SUMIF(61:61,C8,62:62)+100</f>
        <v>100</v>
      </c>
      <c r="K8" s="1746"/>
      <c r="L8" s="2487"/>
      <c r="M8" s="2439"/>
      <c r="N8" s="2439"/>
      <c r="O8" s="2439"/>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78"/>
      <c r="Q11" s="530" t="str">
        <f t="shared" si="6"/>
        <v>容积率</v>
      </c>
      <c r="R11" s="664" t="s">
        <v>18</v>
      </c>
      <c r="S11" s="665">
        <f t="shared" si="0"/>
        <v>100</v>
      </c>
      <c r="T11" s="664" t="s">
        <v>18</v>
      </c>
      <c r="U11" s="665">
        <f t="shared" si="1"/>
        <v>100</v>
      </c>
      <c r="V11" s="664" t="s">
        <v>18</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8"/>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8"/>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8"/>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1"/>
      <c r="M16" s="2486"/>
      <c r="N16" s="2486"/>
      <c r="O16" s="2486"/>
      <c r="P16" s="3405"/>
      <c r="Q16" s="1263"/>
      <c r="R16" s="667"/>
      <c r="S16" s="668"/>
      <c r="T16" s="667"/>
      <c r="U16" s="668"/>
      <c r="V16" s="667"/>
      <c r="W16" s="668"/>
      <c r="X16" s="1265"/>
      <c r="Y16" s="3398"/>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1"/>
      <c r="M18" s="2486"/>
      <c r="N18" s="2486"/>
      <c r="O18" s="2486"/>
      <c r="P18" s="3405"/>
      <c r="Q18" s="1263"/>
      <c r="R18" s="667"/>
      <c r="S18" s="668"/>
      <c r="T18" s="667"/>
      <c r="U18" s="668"/>
      <c r="V18" s="667"/>
      <c r="W18" s="668"/>
      <c r="X18" s="1265"/>
      <c r="Y18" s="3398"/>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1"/>
      <c r="M20" s="2486"/>
      <c r="N20" s="2486"/>
      <c r="O20" s="2486"/>
      <c r="P20" s="3405"/>
      <c r="Q20" s="1263"/>
      <c r="R20" s="667"/>
      <c r="S20" s="668"/>
      <c r="T20" s="667"/>
      <c r="U20" s="668"/>
      <c r="V20" s="667"/>
      <c r="W20" s="668"/>
      <c r="X20" s="1265"/>
      <c r="Y20" s="3398"/>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1"/>
      <c r="M22" s="2486"/>
      <c r="N22" s="2486"/>
      <c r="O22" s="2486"/>
      <c r="P22" s="3405"/>
      <c r="Q22" s="1263"/>
      <c r="R22" s="667"/>
      <c r="S22" s="668"/>
      <c r="T22" s="667"/>
      <c r="U22" s="668"/>
      <c r="V22" s="667"/>
      <c r="W22" s="668"/>
      <c r="X22" s="1265"/>
      <c r="Y22" s="3398"/>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1"/>
      <c r="M24" s="2486"/>
      <c r="N24" s="2486"/>
      <c r="O24" s="2486"/>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185.94</v>
      </c>
      <c r="D33" s="119">
        <v>100</v>
      </c>
      <c r="E33" s="369">
        <v>193.24</v>
      </c>
      <c r="F33" s="364">
        <f>LOOKUP(E33,103:103,104:104)-LOOKUP(C33,103:103,104:104)+100</f>
        <v>100</v>
      </c>
      <c r="G33" s="368">
        <v>185.94</v>
      </c>
      <c r="H33" s="119">
        <f>LOOKUP(G33,103:103,104:104)-LOOKUP(C33,103:103,104:104)+100</f>
        <v>100</v>
      </c>
      <c r="I33" s="369">
        <v>185.94</v>
      </c>
      <c r="J33" s="119">
        <f>LOOKUP(I33,103:103,104:104)-LOOKUP(C33,103:103,104:104)+100</f>
        <v>100</v>
      </c>
      <c r="K33" s="1747"/>
      <c r="L33" s="2490"/>
      <c r="M33" s="2492"/>
      <c r="N33" s="2492"/>
      <c r="O33" s="2492"/>
      <c r="P33" s="3400"/>
      <c r="Q33" s="531" t="str">
        <f t="shared" si="11"/>
        <v>项目建筑规模</v>
      </c>
      <c r="R33" s="669" t="s">
        <v>18</v>
      </c>
      <c r="S33" s="670">
        <f t="shared" si="12"/>
        <v>100</v>
      </c>
      <c r="T33" s="669" t="s">
        <v>18</v>
      </c>
      <c r="U33" s="670">
        <f t="shared" si="13"/>
        <v>100</v>
      </c>
      <c r="V33" s="669" t="s">
        <v>18</v>
      </c>
      <c r="W33" s="670">
        <f t="shared" si="14"/>
        <v>100</v>
      </c>
      <c r="X33" s="671"/>
      <c r="Y33" s="3402"/>
      <c r="Z33" s="672" t="str">
        <f t="shared" si="18"/>
        <v>项目建筑规模</v>
      </c>
      <c r="AA33" s="1264">
        <f t="shared" si="15"/>
        <v>1</v>
      </c>
      <c r="AB33" s="1264">
        <f t="shared" si="16"/>
        <v>1</v>
      </c>
      <c r="AC33" s="1264">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c r="L37" s="2487"/>
      <c r="M37" s="2439"/>
      <c r="N37" s="2439"/>
      <c r="O37" s="2439"/>
      <c r="P37" s="3400"/>
      <c r="Q37" s="530" t="str">
        <f t="shared" si="11"/>
        <v>成新度</v>
      </c>
      <c r="R37" s="664" t="s">
        <v>18</v>
      </c>
      <c r="S37" s="665">
        <f t="shared" si="12"/>
        <v>100</v>
      </c>
      <c r="T37" s="664" t="s">
        <v>18</v>
      </c>
      <c r="U37" s="665">
        <f t="shared" si="13"/>
        <v>100</v>
      </c>
      <c r="V37" s="664" t="s">
        <v>18</v>
      </c>
      <c r="W37" s="665">
        <f t="shared" si="14"/>
        <v>100</v>
      </c>
      <c r="X37" s="666"/>
      <c r="Y37" s="3402"/>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5">
      <c r="A47" s="416" t="s">
        <v>1708</v>
      </c>
      <c r="B47" s="417"/>
      <c r="C47" s="1081" t="s">
        <v>16</v>
      </c>
      <c r="D47" s="418"/>
      <c r="E47" s="419">
        <v>39329</v>
      </c>
      <c r="F47" s="420"/>
      <c r="G47" s="421">
        <v>37372</v>
      </c>
      <c r="H47" s="422"/>
      <c r="I47" s="419">
        <v>37431</v>
      </c>
      <c r="J47" s="422"/>
      <c r="K47" s="1766"/>
      <c r="L47" s="2493"/>
      <c r="M47" s="2486"/>
      <c r="N47" s="2486"/>
      <c r="O47" s="2486"/>
      <c r="P47" s="3396" t="str">
        <f>A47</f>
        <v>成交单价（元/平方米）</v>
      </c>
      <c r="Q47" s="3396"/>
      <c r="R47" s="3391">
        <f>E47</f>
        <v>39329</v>
      </c>
      <c r="S47" s="3391"/>
      <c r="T47" s="3391">
        <f>G47</f>
        <v>37372</v>
      </c>
      <c r="U47" s="3391"/>
      <c r="V47" s="3391">
        <f>I47</f>
        <v>37431</v>
      </c>
      <c r="W47" s="3391"/>
      <c r="X47" s="385"/>
      <c r="Y47" s="673"/>
      <c r="Z47" s="385"/>
      <c r="AA47" s="385"/>
      <c r="AB47" s="385"/>
      <c r="AC47" s="385"/>
    </row>
    <row r="48" spans="1:29" ht="15.75" thickBot="1">
      <c r="A48" s="423" t="s">
        <v>1709</v>
      </c>
      <c r="B48" s="424"/>
      <c r="C48" s="1082">
        <f>R49</f>
        <v>38044</v>
      </c>
      <c r="D48" s="2140" t="s">
        <v>2137</v>
      </c>
      <c r="E48" s="1083">
        <f>R48</f>
        <v>39329</v>
      </c>
      <c r="F48" s="2141"/>
      <c r="G48" s="1082">
        <f>T48</f>
        <v>37372</v>
      </c>
      <c r="H48" s="2141"/>
      <c r="I48" s="1083">
        <f>V48</f>
        <v>37431</v>
      </c>
      <c r="J48" s="2141"/>
      <c r="K48" s="2142">
        <f>F48+H48+J48</f>
        <v>0</v>
      </c>
      <c r="L48" s="2493"/>
      <c r="M48" s="2486"/>
      <c r="N48" s="2486"/>
      <c r="O48" s="2486"/>
      <c r="P48" s="3396" t="str">
        <f>A48</f>
        <v>比较价值（元/平方米）</v>
      </c>
      <c r="Q48" s="3396"/>
      <c r="R48" s="3391">
        <f>IF(F1="售价",ROUND(PRODUCT(R47,AA7:AA46),0),ROUND(PRODUCT(R47,AA7:AA46),1))</f>
        <v>39329</v>
      </c>
      <c r="S48" s="3391"/>
      <c r="T48" s="3391">
        <f>IF(F1="售价",ROUND(PRODUCT(T47,AB7:AB46),0),ROUND(PRODUCT(T47,AB7:AB46),1))</f>
        <v>37372</v>
      </c>
      <c r="U48" s="3391"/>
      <c r="V48" s="3391">
        <f>IF(F1="售价",ROUND(PRODUCT(V47,AC7:AC46),0),ROUND(PRODUCT(V47,AC7:AC46),1))</f>
        <v>37431</v>
      </c>
      <c r="W48" s="3391"/>
      <c r="X48" s="385"/>
      <c r="Y48" s="385"/>
      <c r="Z48" s="385"/>
      <c r="AA48" s="385"/>
      <c r="AB48" s="385"/>
      <c r="AC48" s="385"/>
    </row>
    <row r="49" spans="1:29" ht="15.75" thickBot="1">
      <c r="A49" s="427" t="s">
        <v>1710</v>
      </c>
      <c r="B49" s="428"/>
      <c r="C49" s="1084">
        <f>R49</f>
        <v>38044</v>
      </c>
      <c r="D49" s="351"/>
      <c r="E49" s="351"/>
      <c r="F49" s="351"/>
      <c r="G49" s="351"/>
      <c r="H49" s="351"/>
      <c r="I49" s="351"/>
      <c r="J49" s="351"/>
      <c r="K49" s="1767"/>
      <c r="L49" s="2493"/>
      <c r="M49" s="2486"/>
      <c r="N49" s="2486"/>
      <c r="O49" s="2486"/>
      <c r="P49" s="3393" t="str">
        <f>A49</f>
        <v>估价对象XX用房的比较价值（楼面单价，元/平方米）</v>
      </c>
      <c r="Q49" s="3394"/>
      <c r="R49" s="3395">
        <f>IF(F1="售价",ROUND(IF(D48="简单平均",AVERAGE(R48:V48),R48*F48+T48*H48+V48*J48),0),ROUND(IF(D48="简单平均",AVERAGE(R48:V48),R48*F48+T48*H48+V48*J48),1))</f>
        <v>38044</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498"/>
      <c r="L52" s="2494"/>
      <c r="M52" s="2486"/>
      <c r="N52" s="2486"/>
      <c r="O52" s="2486"/>
    </row>
    <row r="53" spans="1:29" ht="13.5" customHeight="1">
      <c r="A53" s="2486"/>
      <c r="B53" s="2486"/>
      <c r="C53" s="432" t="s">
        <v>1712</v>
      </c>
      <c r="D53" s="436"/>
      <c r="E53" s="434">
        <f>IF(E48&lt;G48,G48/E48-1,E48/G48-1)</f>
        <v>5.2365407256769858E-2</v>
      </c>
      <c r="F53" s="435" t="str">
        <f>IF(OR(E53&gt;=0.2,E53&lt;=-0.2),"超过20%","")</f>
        <v/>
      </c>
      <c r="G53" s="434">
        <f>IF(G48&lt;I48,I48/G48-1,G48/I48-1)</f>
        <v>1.5787220378893352E-3</v>
      </c>
      <c r="H53" s="435" t="str">
        <f>IF(OR(G53&gt;=0.2,G53&lt;=-0.2),"超过20%","")</f>
        <v/>
      </c>
      <c r="I53" s="434">
        <f>IF(I48&lt;E48,E48/I48-1,I48/E48-1)</f>
        <v>5.0706633539045143E-2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5.2365407256769858E-2</v>
      </c>
      <c r="F54" s="435" t="str">
        <f>IF(OR(E54&gt;=0.3,E54&lt;=-0.3),"超过30%","")</f>
        <v/>
      </c>
      <c r="G54" s="434">
        <f>IF(G47&lt;I47,I47/G47-1,G47/I47-1)</f>
        <v>1.5787220378893352E-3</v>
      </c>
      <c r="H54" s="435" t="str">
        <f>IF(OR(G54&gt;=0.3,G54&lt;=-0.3),"超过30%","")</f>
        <v/>
      </c>
      <c r="I54" s="434">
        <f>IF(I47&lt;E47,E47/I47-1,I47/E47-1)</f>
        <v>5.0706633539045143E-2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1"/>
      <c r="C59" s="1102">
        <v>100</v>
      </c>
      <c r="D59" s="445">
        <v>100</v>
      </c>
      <c r="E59" s="445">
        <v>100</v>
      </c>
      <c r="F59" s="445">
        <v>100</v>
      </c>
      <c r="G59" s="445">
        <v>100</v>
      </c>
      <c r="H59" s="445">
        <v>100</v>
      </c>
      <c r="I59" s="445">
        <v>100</v>
      </c>
      <c r="J59" s="445">
        <v>100</v>
      </c>
      <c r="K59" s="445">
        <v>100</v>
      </c>
      <c r="L59" s="445">
        <v>100</v>
      </c>
      <c r="M59" s="445">
        <v>100</v>
      </c>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2</v>
      </c>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0(含)-250</v>
      </c>
      <c r="D102" s="509" t="str">
        <f t="shared" ref="D102:L102" si="26">D103&amp;"(含)"&amp;"-"&amp;E103</f>
        <v>250(含)-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250</v>
      </c>
      <c r="E103" s="6"/>
      <c r="F103" s="6"/>
      <c r="G103" s="6"/>
      <c r="H103" s="6"/>
      <c r="I103" s="6"/>
      <c r="J103" s="524"/>
      <c r="K103" s="524"/>
      <c r="L103" s="525"/>
      <c r="M103" s="526"/>
      <c r="N103" s="881"/>
      <c r="O103" s="881"/>
      <c r="P103" s="1775"/>
      <c r="Q103" s="490"/>
    </row>
    <row r="104" spans="1:17" s="408" customFormat="1" ht="15.75" thickBot="1">
      <c r="A104" s="484"/>
      <c r="B104" s="474"/>
      <c r="C104" s="491">
        <v>100</v>
      </c>
      <c r="D104" s="467">
        <f>C104-1</f>
        <v>99</v>
      </c>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48" priority="14"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F7:F46 H7:H46 J7:J46">
    <cfRule type="cellIs" dxfId="145" priority="1" operator="notEqual">
      <formula>100</formula>
    </cfRule>
  </conditionalFormatting>
  <conditionalFormatting sqref="F48">
    <cfRule type="expression" dxfId="144" priority="4">
      <formula>$D$48="简单平均"</formula>
    </cfRule>
  </conditionalFormatting>
  <conditionalFormatting sqref="F52:F54 H52:H54 J52:J54">
    <cfRule type="containsText" dxfId="143" priority="15" stopIfTrue="1" operator="containsText" text="超过">
      <formula>NOT(ISERROR(SEARCH("超过",F52)))</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G54">
    <cfRule type="expression" dxfId="140" priority="12" stopIfTrue="1">
      <formula>$H$54="超过30%"</formula>
    </cfRule>
  </conditionalFormatting>
  <conditionalFormatting sqref="H48">
    <cfRule type="expression" dxfId="139" priority="3">
      <formula>$D$48="简单平均"</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J48">
    <cfRule type="expression" dxfId="135"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3404</v>
      </c>
      <c r="D1" s="1271" t="s">
        <v>43</v>
      </c>
      <c r="E1" s="1272" t="s">
        <v>678</v>
      </c>
      <c r="F1" s="999">
        <f ca="1">J53</f>
        <v>60.17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223</v>
      </c>
      <c r="C2" s="1289" t="s">
        <v>805</v>
      </c>
      <c r="D2" s="1289"/>
      <c r="E2" s="1295"/>
      <c r="F2" s="1296"/>
      <c r="G2" s="2477"/>
      <c r="H2" s="2467"/>
      <c r="I2" s="2467"/>
      <c r="J2" s="2467"/>
      <c r="K2" s="2468"/>
      <c r="L2" s="2467"/>
      <c r="M2" s="2467"/>
    </row>
    <row r="3" spans="1:37" ht="18" customHeight="1" thickBot="1">
      <c r="A3" s="1297" t="s">
        <v>806</v>
      </c>
      <c r="B3" s="1298">
        <f ca="1">IF(ISERROR(B2*10000/F43),0,ROUND(B2*10000/F43,0))</f>
        <v>11993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13</v>
      </c>
      <c r="D5" s="1273" t="s">
        <v>693</v>
      </c>
      <c r="E5" s="1008"/>
      <c r="F5" s="1009"/>
      <c r="G5" s="1292"/>
      <c r="H5" s="291">
        <v>1</v>
      </c>
      <c r="I5" s="292" t="s">
        <v>692</v>
      </c>
      <c r="J5" s="1007">
        <f ca="1">J6+J10+J12</f>
        <v>0</v>
      </c>
      <c r="K5" s="1273" t="s">
        <v>693</v>
      </c>
      <c r="L5" s="1008"/>
      <c r="M5" s="1009"/>
    </row>
    <row r="6" spans="1:37" ht="18" customHeight="1">
      <c r="A6" s="1006" t="s">
        <v>398</v>
      </c>
      <c r="B6" s="3408" t="s">
        <v>694</v>
      </c>
      <c r="C6" s="1011">
        <f ca="1">ROUND(F6*F8*F7*(1-F9)/10000,0)</f>
        <v>13</v>
      </c>
      <c r="D6" s="147" t="s">
        <v>2108</v>
      </c>
      <c r="E6" s="294" t="s">
        <v>696</v>
      </c>
      <c r="F6" s="295">
        <f ca="1">INDIRECT("'数据-取费表'!u"&amp;$G$1)</f>
        <v>12000</v>
      </c>
      <c r="G6" s="1292"/>
      <c r="H6" s="1006" t="s">
        <v>398</v>
      </c>
      <c r="I6" s="3408" t="s">
        <v>694</v>
      </c>
      <c r="J6" s="293">
        <f ca="1">ROUND(M6*M8*M7*(1-M9)/10000,0)</f>
        <v>0</v>
      </c>
      <c r="K6" s="147" t="s">
        <v>2107</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1</v>
      </c>
      <c r="G7" s="1292"/>
      <c r="H7" s="296"/>
      <c r="I7" s="3409"/>
      <c r="J7" s="298"/>
      <c r="K7" s="299"/>
      <c r="L7" s="294" t="s">
        <v>697</v>
      </c>
      <c r="M7" s="295">
        <f ca="1">F7</f>
        <v>1</v>
      </c>
    </row>
    <row r="8" spans="1:37" ht="18" customHeight="1">
      <c r="A8" s="296"/>
      <c r="B8" s="3409"/>
      <c r="C8" s="298"/>
      <c r="D8" s="299"/>
      <c r="E8" s="294" t="s">
        <v>698</v>
      </c>
      <c r="F8" s="295">
        <f ca="1">INDIRECT("'数据-取费表'!ai"&amp;$G$1)</f>
        <v>12</v>
      </c>
      <c r="G8" s="1292"/>
      <c r="H8" s="296"/>
      <c r="I8" s="3409"/>
      <c r="J8" s="298"/>
      <c r="K8" s="299"/>
      <c r="L8" s="294" t="s">
        <v>698</v>
      </c>
      <c r="M8" s="295">
        <f ca="1">INDIRECT("'数据-取费表'!ai"&amp;$G$1)</f>
        <v>12</v>
      </c>
    </row>
    <row r="9" spans="1:37" ht="18" customHeight="1">
      <c r="A9" s="296"/>
      <c r="B9" s="3410"/>
      <c r="C9" s="298"/>
      <c r="D9" s="299"/>
      <c r="E9" s="294" t="s">
        <v>699</v>
      </c>
      <c r="F9" s="304">
        <f ca="1">INDIRECT("'数据-取费表'!w"&amp;$G$1)</f>
        <v>0.1</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3489</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143</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112</v>
      </c>
      <c r="D14" s="1257" t="s">
        <v>708</v>
      </c>
      <c r="E14" s="1255"/>
      <c r="F14" s="311"/>
      <c r="G14" s="1292"/>
      <c r="H14" s="928" t="s">
        <v>398</v>
      </c>
      <c r="I14" s="294" t="s">
        <v>709</v>
      </c>
      <c r="J14" s="21">
        <f ca="1">C29</f>
        <v>172</v>
      </c>
      <c r="K14" s="12"/>
      <c r="L14" s="759"/>
      <c r="M14" s="760"/>
    </row>
    <row r="15" spans="1:37" s="1304" customFormat="1" ht="18" customHeight="1" thickBot="1">
      <c r="A15" s="928" t="s">
        <v>399</v>
      </c>
      <c r="B15" s="294" t="s">
        <v>710</v>
      </c>
      <c r="C15" s="21">
        <f ca="1">ROUND(C14*F15,0)</f>
        <v>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6</v>
      </c>
      <c r="D16" s="294" t="s">
        <v>711</v>
      </c>
      <c r="E16" s="294" t="s">
        <v>712</v>
      </c>
      <c r="F16" s="314">
        <f ca="1">IF(INDIRECT("'数据-取费表'!c"&amp;$G$1)="住宅",'数据-取费表'!B34,0)</f>
        <v>0.05</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4</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3</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20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172</v>
      </c>
      <c r="D29" s="1029"/>
      <c r="E29" s="1027"/>
      <c r="F29" s="1030"/>
      <c r="G29" s="1303"/>
      <c r="H29" s="325" t="s">
        <v>396</v>
      </c>
      <c r="I29" s="326" t="s">
        <v>768</v>
      </c>
      <c r="J29" s="327">
        <f ca="1">ROUND(J26/(1+F40)^F41,0)</f>
        <v>0</v>
      </c>
      <c r="K29" s="328" t="s">
        <v>769</v>
      </c>
      <c r="L29" s="329"/>
      <c r="M29" s="330">
        <f ca="1">INDIRECT("'数据-取费表'!k"&amp;$G$1)</f>
        <v>185.94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2.1800000000000002</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1.49</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1.72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0.14000000000000001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0.13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9</v>
      </c>
      <c r="D39" s="1032" t="s">
        <v>773</v>
      </c>
      <c r="E39" s="1033"/>
      <c r="F39" s="1034"/>
      <c r="G39" s="1292"/>
      <c r="H39" s="2472"/>
      <c r="I39" s="1305"/>
      <c r="J39" s="1306"/>
      <c r="K39" s="2470"/>
      <c r="L39" s="2472"/>
      <c r="M39" s="2472"/>
    </row>
    <row r="40" spans="1:18" ht="18" customHeight="1">
      <c r="A40" s="291" t="s">
        <v>395</v>
      </c>
      <c r="B40" s="292" t="s">
        <v>774</v>
      </c>
      <c r="C40" s="293">
        <f ca="1">ROUND(C39*(1-((1+F42)/(1+F40))^F41)/(F40-F42),0)</f>
        <v>223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60.17</v>
      </c>
      <c r="G41" s="1292"/>
      <c r="H41" s="121">
        <f ca="1">C39/C5</f>
        <v>0.69230769230769229</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11993</v>
      </c>
      <c r="D43" s="328" t="s">
        <v>777</v>
      </c>
      <c r="E43" s="329" t="s">
        <v>778</v>
      </c>
      <c r="F43" s="330">
        <f ca="1">INDIRECT("'数据-取费表'!k"&amp;$G$1)</f>
        <v>185.94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-258</v>
      </c>
      <c r="D46" s="1313" t="str">
        <f>C2</f>
        <v>万元</v>
      </c>
      <c r="E46" s="1307"/>
      <c r="F46" s="1307"/>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3490</v>
      </c>
      <c r="K47" s="1323" t="s">
        <v>816</v>
      </c>
      <c r="L47" s="1324">
        <f ca="1">INDIRECT("'数据-取费表'!d"&amp;$G$1)</f>
        <v>70</v>
      </c>
      <c r="M47" s="1288" t="str">
        <f>IF(ISNUMBER(FIND("住宅",C1)),"住宅","非住宅")</f>
        <v>住宅</v>
      </c>
      <c r="O47" s="1325" t="s">
        <v>403</v>
      </c>
      <c r="P47" s="1326" t="s">
        <v>817</v>
      </c>
      <c r="Q47" s="1327">
        <f ca="1">C40+J29</f>
        <v>223</v>
      </c>
      <c r="R47" s="1327" t="s">
        <v>818</v>
      </c>
    </row>
    <row r="48" spans="1:18" s="1292" customFormat="1" ht="28.5" thickBot="1">
      <c r="A48" s="1047" t="s">
        <v>438</v>
      </c>
      <c r="B48" s="292" t="s">
        <v>692</v>
      </c>
      <c r="C48" s="1268">
        <f ca="1">C49+C53+C55</f>
        <v>0</v>
      </c>
      <c r="D48" s="1049"/>
      <c r="E48" s="1050"/>
      <c r="F48" s="908"/>
      <c r="G48" s="681"/>
      <c r="H48" s="682"/>
      <c r="I48" s="1328" t="s">
        <v>819</v>
      </c>
      <c r="J48" s="1329" t="s">
        <v>3491</v>
      </c>
      <c r="K48" s="1330" t="s">
        <v>820</v>
      </c>
      <c r="L48" s="1331">
        <f ca="1">INDIRECT("'数据-取费表'!f"&amp;$G$1)</f>
        <v>60.17</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f>'数据-取费表'!N17</f>
        <v>2015</v>
      </c>
      <c r="K49" s="1330" t="s">
        <v>824</v>
      </c>
      <c r="L49" s="1333"/>
      <c r="O49" s="1334" t="s">
        <v>405</v>
      </c>
      <c r="P49" s="1326" t="s">
        <v>825</v>
      </c>
      <c r="Q49" s="1327">
        <f ca="1">C29</f>
        <v>172</v>
      </c>
      <c r="R49" s="1327" t="s">
        <v>818</v>
      </c>
    </row>
    <row r="50" spans="1:18" s="1292" customFormat="1" ht="13.5"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-18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60.17</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60.17</v>
      </c>
      <c r="K53" s="3406" t="s">
        <v>837</v>
      </c>
      <c r="L53" s="3407"/>
      <c r="O53" s="1325" t="s">
        <v>409</v>
      </c>
      <c r="P53" s="1326" t="s">
        <v>838</v>
      </c>
      <c r="Q53" s="1327">
        <f ca="1">Q47+Q48</f>
        <v>223</v>
      </c>
      <c r="R53" s="1327" t="s">
        <v>410</v>
      </c>
    </row>
    <row r="54" spans="1:18" s="1292" customFormat="1" ht="13.5" thickBot="1">
      <c r="A54" s="1080"/>
      <c r="B54" s="1275" t="s">
        <v>679</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143</v>
      </c>
      <c r="D56" s="1352"/>
      <c r="E56" s="1353"/>
      <c r="F56" s="1345"/>
      <c r="I56" s="1354" t="s">
        <v>842</v>
      </c>
      <c r="J56" s="1355" t="s">
        <v>3492</v>
      </c>
      <c r="K56" s="1328" t="s">
        <v>843</v>
      </c>
      <c r="L56" s="1331">
        <f ca="1">IF(L48&lt;J51,"——",L48-J53)</f>
        <v>0</v>
      </c>
      <c r="O56" s="1325" t="s">
        <v>403</v>
      </c>
      <c r="P56" s="1326" t="s">
        <v>817</v>
      </c>
      <c r="Q56" s="1327">
        <f ca="1">C40+J29</f>
        <v>223</v>
      </c>
      <c r="R56" s="1327" t="s">
        <v>818</v>
      </c>
    </row>
    <row r="57" spans="1:18" s="1292" customFormat="1" ht="24.75" thickBot="1">
      <c r="A57" s="1356"/>
      <c r="B57" s="896" t="s">
        <v>767</v>
      </c>
      <c r="C57" s="230">
        <f ca="1">C29</f>
        <v>172</v>
      </c>
      <c r="D57" s="1357"/>
      <c r="E57" s="1358"/>
      <c r="F57" s="1359"/>
      <c r="I57" s="1360" t="s">
        <v>844</v>
      </c>
      <c r="J57" s="1361" t="str">
        <f ca="1">IF(OR(M47="住宅",J51&lt;L48,J56="是"),"——",J51-L48)</f>
        <v>——</v>
      </c>
      <c r="K57" s="1328" t="s">
        <v>845</v>
      </c>
      <c r="L57" s="1331">
        <f ca="1">IF(L48&lt;J51,"——",IF(L55="比较法",L49,IF(L55="基准地价",L50,L51)))</f>
        <v>-18</v>
      </c>
      <c r="O57" s="1325" t="s">
        <v>404</v>
      </c>
      <c r="P57" s="1326" t="s">
        <v>846</v>
      </c>
      <c r="Q57" s="1327">
        <f ca="1">L60</f>
        <v>0</v>
      </c>
      <c r="R57" s="1327" t="s">
        <v>847</v>
      </c>
    </row>
    <row r="58" spans="1:18" s="1292" customFormat="1" ht="24.75" thickBot="1">
      <c r="A58" s="307" t="s">
        <v>393</v>
      </c>
      <c r="B58" s="904" t="s">
        <v>714</v>
      </c>
      <c r="C58" s="308">
        <f ca="1">ROUND(C59+C64+C65+C66,0)</f>
        <v>2</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223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0.14000000000000001</v>
      </c>
      <c r="D65" s="910" t="s">
        <v>743</v>
      </c>
      <c r="E65" s="896" t="s">
        <v>744</v>
      </c>
      <c r="F65" s="321">
        <f t="shared" ca="1" si="0"/>
        <v>1E-3</v>
      </c>
      <c r="I65" s="1367" t="s">
        <v>867</v>
      </c>
      <c r="J65" s="610">
        <v>40</v>
      </c>
      <c r="K65" s="610">
        <v>30</v>
      </c>
      <c r="L65" s="610">
        <v>50</v>
      </c>
      <c r="M65" s="1369">
        <v>0.02</v>
      </c>
      <c r="O65" s="1325" t="s">
        <v>403</v>
      </c>
      <c r="P65" s="1326" t="s">
        <v>868</v>
      </c>
      <c r="Q65" s="1327">
        <f ca="1">C40+J29</f>
        <v>223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v>
      </c>
      <c r="D67" s="909" t="s">
        <v>753</v>
      </c>
      <c r="E67" s="914"/>
      <c r="F67" s="915"/>
      <c r="O67" s="1334" t="s">
        <v>405</v>
      </c>
      <c r="P67" s="1326" t="s">
        <v>850</v>
      </c>
      <c r="Q67" s="1370">
        <f ca="1">L51</f>
        <v>-18</v>
      </c>
      <c r="R67" s="1327" t="s">
        <v>870</v>
      </c>
    </row>
    <row r="68" spans="1:18" s="1292" customFormat="1" ht="16.5" thickBot="1">
      <c r="A68" s="893" t="s">
        <v>395</v>
      </c>
      <c r="B68" s="894" t="s">
        <v>774</v>
      </c>
      <c r="C68" s="293">
        <f ca="1">ROUND(C67*(1-((1+F70)/(1+F68))^F69)/(F68-F70),0)</f>
        <v>-35</v>
      </c>
      <c r="D68" s="911" t="s">
        <v>758</v>
      </c>
      <c r="E68" s="896" t="s">
        <v>759</v>
      </c>
      <c r="F68" s="304">
        <f ca="1">F40</f>
        <v>5.5E-2</v>
      </c>
      <c r="O68" s="1334" t="s">
        <v>406</v>
      </c>
      <c r="P68" s="1371" t="s">
        <v>871</v>
      </c>
      <c r="Q68" s="1327">
        <f ca="1">ROUND(Q69-Q70*Q71,0)</f>
        <v>-1</v>
      </c>
      <c r="R68" s="1327" t="s">
        <v>414</v>
      </c>
    </row>
    <row r="69" spans="1:18" s="1292" customFormat="1" ht="13.5" thickBot="1">
      <c r="A69" s="897"/>
      <c r="B69" s="898"/>
      <c r="C69" s="298"/>
      <c r="D69" s="916" t="s">
        <v>762</v>
      </c>
      <c r="E69" s="896" t="s">
        <v>763</v>
      </c>
      <c r="F69" s="324">
        <f ca="1">F41</f>
        <v>60.17</v>
      </c>
      <c r="O69" s="1334" t="s">
        <v>411</v>
      </c>
      <c r="P69" s="1371" t="s">
        <v>872</v>
      </c>
      <c r="Q69" s="1327">
        <f ca="1">C39</f>
        <v>9</v>
      </c>
      <c r="R69" s="1327" t="s">
        <v>818</v>
      </c>
    </row>
    <row r="70" spans="1:18" s="1292" customFormat="1" ht="13.5" thickBot="1">
      <c r="A70" s="900"/>
      <c r="B70" s="901"/>
      <c r="C70" s="302"/>
      <c r="D70" s="912"/>
      <c r="E70" s="896" t="s">
        <v>766</v>
      </c>
      <c r="F70" s="991"/>
      <c r="O70" s="1334" t="s">
        <v>412</v>
      </c>
      <c r="P70" s="1371" t="s">
        <v>873</v>
      </c>
      <c r="Q70" s="1327">
        <f ca="1">C13</f>
        <v>143</v>
      </c>
      <c r="R70" s="1327" t="s">
        <v>818</v>
      </c>
    </row>
    <row r="71" spans="1:18" s="1292" customFormat="1" ht="13.5" thickBot="1">
      <c r="A71" s="917" t="s">
        <v>396</v>
      </c>
      <c r="B71" s="918" t="s">
        <v>776</v>
      </c>
      <c r="C71" s="327">
        <f ca="1">ROUND(C68*10000/F71,0)</f>
        <v>-1882</v>
      </c>
      <c r="D71" s="919" t="s">
        <v>777</v>
      </c>
      <c r="E71" s="920" t="s">
        <v>778</v>
      </c>
      <c r="F71" s="330">
        <f ca="1">F43</f>
        <v>185.94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v>
      </c>
      <c r="D75" s="1292"/>
      <c r="E75" s="1292"/>
      <c r="F75" s="1292"/>
      <c r="K75" s="1309"/>
      <c r="L75" s="1292"/>
      <c r="O75" s="1325" t="s">
        <v>409</v>
      </c>
      <c r="P75" s="1326" t="s">
        <v>838</v>
      </c>
      <c r="Q75" s="1327">
        <f ca="1">Q65+Q66</f>
        <v>223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-0.11099999999999999</v>
      </c>
    </row>
    <row r="80" spans="1:18">
      <c r="B80" s="331" t="s">
        <v>800</v>
      </c>
      <c r="C80" s="266">
        <f ca="1">ROUND(C75/C39,3)</f>
        <v>1.111</v>
      </c>
    </row>
    <row r="81" spans="2:3">
      <c r="B81" s="262" t="s">
        <v>801</v>
      </c>
      <c r="C81" s="230"/>
    </row>
    <row r="82" spans="2:3">
      <c r="B82" s="265" t="s">
        <v>802</v>
      </c>
      <c r="C82" s="267">
        <f ca="1">1-C83</f>
        <v>0.35899999999999999</v>
      </c>
    </row>
    <row r="83" spans="2:3">
      <c r="B83" s="265" t="s">
        <v>803</v>
      </c>
      <c r="C83" s="266">
        <f ca="1">ROUND(C13/C40,3)</f>
        <v>0.64100000000000001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7">
      <formula>$J$51&gt;$L$48</formula>
    </cfRule>
  </conditionalFormatting>
  <conditionalFormatting sqref="J11">
    <cfRule type="expression" dxfId="131" priority="2">
      <formula>$M$10="自定义"</formula>
    </cfRule>
  </conditionalFormatting>
  <conditionalFormatting sqref="K55 K60">
    <cfRule type="expression" dxfId="13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34" sqref="X3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14" t="s">
        <v>2084</v>
      </c>
      <c r="D1" s="3415"/>
      <c r="E1" s="3415"/>
      <c r="F1" s="3415"/>
      <c r="G1" s="3415"/>
      <c r="H1" s="3415"/>
      <c r="I1" s="3415"/>
      <c r="J1" s="3415"/>
      <c r="K1" s="3415"/>
      <c r="L1" s="3415"/>
      <c r="M1" s="3415"/>
      <c r="N1" s="3415"/>
      <c r="O1" s="3415"/>
      <c r="P1" s="3415"/>
      <c r="Q1" s="3415"/>
      <c r="R1" s="3415"/>
      <c r="S1" s="3416"/>
      <c r="T1" s="929" t="s">
        <v>2085</v>
      </c>
    </row>
    <row r="2" spans="1:45" s="625" customFormat="1" ht="25.5">
      <c r="A2" s="930"/>
      <c r="B2" s="622" t="s">
        <v>2086</v>
      </c>
      <c r="C2" s="14" t="str">
        <f t="shared" ref="C2:L2" si="0">C3&amp;"(含)"&amp;"-"&amp;D3</f>
        <v>0(含)-250</v>
      </c>
      <c r="D2" s="623" t="str">
        <f t="shared" si="0"/>
        <v>250(含)-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'比较法-住宅'!C103</f>
        <v>0</v>
      </c>
      <c r="D3" s="627">
        <f>'比较法-住宅'!D103</f>
        <v>250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'比较法-住宅'!C104</f>
        <v>100</v>
      </c>
      <c r="D4" s="627">
        <f>'比较法-住宅'!D104</f>
        <v>99</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30853</v>
      </c>
      <c r="C20" s="151"/>
      <c r="D20" s="1988" t="s">
        <v>43</v>
      </c>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34702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8890.739999999998</v>
      </c>
      <c r="C22" s="3411" t="s">
        <v>27</v>
      </c>
      <c r="D22" s="3412"/>
      <c r="E22" s="3412"/>
      <c r="F22" s="3412"/>
      <c r="G22" s="3412"/>
      <c r="H22" s="3412"/>
      <c r="I22" s="3412"/>
      <c r="J22" s="3412"/>
      <c r="K22" s="3412"/>
      <c r="L22" s="3412"/>
      <c r="M22" s="3412"/>
      <c r="N22" s="3412"/>
      <c r="O22" s="3412"/>
      <c r="P22" s="3412"/>
      <c r="Q22" s="3413"/>
      <c r="R22" s="21">
        <f ca="1">ROUND(S22*10000/B22,0)</f>
        <v>34702</v>
      </c>
      <c r="S22" s="21">
        <f ca="1">SUM(S24:S10000)</f>
        <v>30853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8" t="s">
        <v>3518</v>
      </c>
      <c r="B24" s="633">
        <f>'数据-汇总表'!E19</f>
        <v>185.94</v>
      </c>
      <c r="C24" s="2569">
        <v>1</v>
      </c>
      <c r="D24" s="2570"/>
      <c r="E24" s="2569">
        <v>1</v>
      </c>
      <c r="F24" s="2570"/>
      <c r="G24" s="2569">
        <v>1</v>
      </c>
      <c r="H24" s="2570"/>
      <c r="I24" s="2569">
        <v>1</v>
      </c>
      <c r="J24" s="2570"/>
      <c r="K24" s="2569">
        <v>1</v>
      </c>
      <c r="L24" s="2570"/>
      <c r="M24" s="2569">
        <v>1</v>
      </c>
      <c r="N24" s="2570"/>
      <c r="O24" s="2569">
        <v>1</v>
      </c>
      <c r="P24" s="2570"/>
      <c r="Q24" s="2569">
        <v>1</v>
      </c>
      <c r="R24" s="633">
        <f ca="1">'结果表-住宅'!H102</f>
        <v>34698</v>
      </c>
      <c r="S24" s="634">
        <f t="shared" ref="S24:S54" ca="1" si="11">ROUND(R24*B24/10000,0)</f>
        <v>645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69" t="s">
        <v>3519</v>
      </c>
      <c r="B25" s="52">
        <f>面积信息!B9</f>
        <v>200.08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34698</v>
      </c>
      <c r="S25" s="308">
        <f t="shared" ca="1" si="11"/>
        <v>694</v>
      </c>
    </row>
    <row r="26" spans="1:45">
      <c r="A26" s="3169" t="s">
        <v>3520</v>
      </c>
      <c r="B26" s="52">
        <f>面积信息!B10</f>
        <v>190.42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34698</v>
      </c>
      <c r="S26" s="308">
        <f t="shared" ca="1" si="11"/>
        <v>661</v>
      </c>
    </row>
    <row r="27" spans="1:45">
      <c r="A27" s="3169" t="s">
        <v>3521</v>
      </c>
      <c r="B27" s="52">
        <f>面积信息!B11</f>
        <v>193.24</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34698</v>
      </c>
      <c r="S27" s="308">
        <f t="shared" ca="1" si="11"/>
        <v>671</v>
      </c>
    </row>
    <row r="28" spans="1:45">
      <c r="A28" s="3169" t="s">
        <v>3522</v>
      </c>
      <c r="B28" s="52">
        <f>面积信息!B12</f>
        <v>185.94</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34698</v>
      </c>
      <c r="S28" s="308">
        <f t="shared" ca="1" si="11"/>
        <v>645</v>
      </c>
    </row>
    <row r="29" spans="1:45">
      <c r="A29" s="3169" t="s">
        <v>3523</v>
      </c>
      <c r="B29" s="52">
        <f>面积信息!B13</f>
        <v>190.42</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34698</v>
      </c>
      <c r="S29" s="308">
        <f t="shared" ca="1" si="11"/>
        <v>661</v>
      </c>
    </row>
    <row r="30" spans="1:45">
      <c r="A30" s="3169" t="s">
        <v>3524</v>
      </c>
      <c r="B30" s="52">
        <f>面积信息!B14</f>
        <v>190.42</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34698</v>
      </c>
      <c r="S30" s="308">
        <f t="shared" ca="1" si="11"/>
        <v>661</v>
      </c>
    </row>
    <row r="31" spans="1:45">
      <c r="A31" s="3169" t="s">
        <v>3525</v>
      </c>
      <c r="B31" s="52">
        <f>面积信息!B15</f>
        <v>185.94</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34698</v>
      </c>
      <c r="S31" s="308">
        <f t="shared" ca="1" si="11"/>
        <v>645</v>
      </c>
    </row>
    <row r="32" spans="1:45">
      <c r="A32" s="3169" t="s">
        <v>3526</v>
      </c>
      <c r="B32" s="52">
        <f>面积信息!B16</f>
        <v>185.94</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34698</v>
      </c>
      <c r="S32" s="308">
        <f t="shared" ca="1" si="11"/>
        <v>645</v>
      </c>
    </row>
    <row r="33" spans="1:19">
      <c r="A33" s="3169" t="s">
        <v>3527</v>
      </c>
      <c r="B33" s="52">
        <f>面积信息!B17</f>
        <v>190.42</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34698</v>
      </c>
      <c r="S33" s="308">
        <f t="shared" ca="1" si="11"/>
        <v>661</v>
      </c>
    </row>
    <row r="34" spans="1:19">
      <c r="A34" s="3169" t="s">
        <v>3528</v>
      </c>
      <c r="B34" s="52">
        <f>面积信息!B18</f>
        <v>185.94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34698</v>
      </c>
      <c r="S34" s="308">
        <f t="shared" ca="1" si="11"/>
        <v>645</v>
      </c>
    </row>
    <row r="35" spans="1:19">
      <c r="A35" s="3169" t="s">
        <v>3529</v>
      </c>
      <c r="B35" s="52">
        <f>面积信息!B19</f>
        <v>190.42</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34698</v>
      </c>
      <c r="S35" s="308">
        <f t="shared" ca="1" si="11"/>
        <v>661</v>
      </c>
    </row>
    <row r="36" spans="1:19">
      <c r="A36" s="3169" t="s">
        <v>3530</v>
      </c>
      <c r="B36" s="52">
        <f>面积信息!B20</f>
        <v>185.94</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ca="1" si="20"/>
        <v>34698</v>
      </c>
      <c r="S36" s="308">
        <f t="shared" ca="1" si="11"/>
        <v>645</v>
      </c>
    </row>
    <row r="37" spans="1:19">
      <c r="A37" s="3169" t="s">
        <v>3531</v>
      </c>
      <c r="B37" s="52">
        <f>面积信息!B21</f>
        <v>185.94</v>
      </c>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ca="1" si="20"/>
        <v>34698</v>
      </c>
      <c r="S37" s="308">
        <f t="shared" ca="1" si="11"/>
        <v>645</v>
      </c>
    </row>
    <row r="38" spans="1:19">
      <c r="A38" s="3169" t="s">
        <v>3532</v>
      </c>
      <c r="B38" s="52">
        <f>面积信息!B22</f>
        <v>185.94</v>
      </c>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ca="1" si="20"/>
        <v>34698</v>
      </c>
      <c r="S38" s="308">
        <f t="shared" ca="1" si="11"/>
        <v>645</v>
      </c>
    </row>
    <row r="39" spans="1:19">
      <c r="A39" s="3169" t="s">
        <v>3533</v>
      </c>
      <c r="B39" s="52">
        <f>面积信息!B23</f>
        <v>190.42</v>
      </c>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ca="1" si="20"/>
        <v>34698</v>
      </c>
      <c r="S39" s="308">
        <f t="shared" ca="1" si="11"/>
        <v>661</v>
      </c>
    </row>
    <row r="40" spans="1:19">
      <c r="A40" s="3169" t="s">
        <v>3534</v>
      </c>
      <c r="B40" s="52">
        <f>面积信息!B24</f>
        <v>185.94</v>
      </c>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ca="1" si="20"/>
        <v>34698</v>
      </c>
      <c r="S40" s="308">
        <f t="shared" ca="1" si="11"/>
        <v>645</v>
      </c>
    </row>
    <row r="41" spans="1:19">
      <c r="A41" s="3169" t="s">
        <v>3535</v>
      </c>
      <c r="B41" s="52">
        <f>面积信息!B25</f>
        <v>185.94</v>
      </c>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ca="1" si="20"/>
        <v>34698</v>
      </c>
      <c r="S41" s="308">
        <f t="shared" ca="1" si="11"/>
        <v>645</v>
      </c>
    </row>
    <row r="42" spans="1:19">
      <c r="A42" s="3169" t="s">
        <v>3536</v>
      </c>
      <c r="B42" s="52">
        <f>面积信息!B26</f>
        <v>190.42</v>
      </c>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ca="1" si="20"/>
        <v>34698</v>
      </c>
      <c r="S42" s="308">
        <f t="shared" ca="1" si="11"/>
        <v>661</v>
      </c>
    </row>
    <row r="43" spans="1:19">
      <c r="A43" s="3169" t="s">
        <v>3537</v>
      </c>
      <c r="B43" s="52">
        <f>面积信息!B27</f>
        <v>190.42</v>
      </c>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ca="1" si="20"/>
        <v>34698</v>
      </c>
      <c r="S43" s="308">
        <f t="shared" ca="1" si="11"/>
        <v>661</v>
      </c>
    </row>
    <row r="44" spans="1:19">
      <c r="A44" s="3169" t="s">
        <v>3538</v>
      </c>
      <c r="B44" s="52">
        <f>面积信息!B28</f>
        <v>190.42</v>
      </c>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ca="1" si="20"/>
        <v>34698</v>
      </c>
      <c r="S44" s="308">
        <f t="shared" ca="1" si="11"/>
        <v>661</v>
      </c>
    </row>
    <row r="45" spans="1:19">
      <c r="A45" s="3169" t="s">
        <v>3539</v>
      </c>
      <c r="B45" s="52">
        <f>面积信息!B29</f>
        <v>185.94</v>
      </c>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ca="1" si="20"/>
        <v>34698</v>
      </c>
      <c r="S45" s="308">
        <f t="shared" ca="1" si="11"/>
        <v>645</v>
      </c>
    </row>
    <row r="46" spans="1:19">
      <c r="A46" s="3169" t="s">
        <v>3517</v>
      </c>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3169" t="s">
        <v>3540</v>
      </c>
      <c r="B47" s="52">
        <f>面积信息!B31</f>
        <v>190.42</v>
      </c>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ca="1" si="20"/>
        <v>34698</v>
      </c>
      <c r="S47" s="308">
        <f t="shared" ca="1" si="11"/>
        <v>661</v>
      </c>
    </row>
    <row r="48" spans="1:19">
      <c r="A48" s="142" t="s">
        <v>3541</v>
      </c>
      <c r="B48" s="52">
        <f>面积信息!B32</f>
        <v>185.94</v>
      </c>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ca="1" si="20"/>
        <v>34698</v>
      </c>
      <c r="S48" s="308">
        <f t="shared" ca="1" si="11"/>
        <v>645</v>
      </c>
    </row>
    <row r="49" spans="1:19">
      <c r="A49" s="142" t="s">
        <v>3542</v>
      </c>
      <c r="B49" s="52">
        <f>面积信息!B33</f>
        <v>185.94</v>
      </c>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ca="1" si="20"/>
        <v>34698</v>
      </c>
      <c r="S49" s="308">
        <f t="shared" ca="1" si="11"/>
        <v>645</v>
      </c>
    </row>
    <row r="50" spans="1:19">
      <c r="A50" s="142" t="s">
        <v>3543</v>
      </c>
      <c r="B50" s="52">
        <f>面积信息!B34</f>
        <v>185.94</v>
      </c>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ca="1" si="20"/>
        <v>34698</v>
      </c>
      <c r="S50" s="308">
        <f t="shared" ca="1" si="11"/>
        <v>645</v>
      </c>
    </row>
    <row r="51" spans="1:19">
      <c r="A51" s="142" t="s">
        <v>3544</v>
      </c>
      <c r="B51" s="52">
        <f>面积信息!B35</f>
        <v>190.42</v>
      </c>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ca="1" si="20"/>
        <v>34698</v>
      </c>
      <c r="S51" s="308">
        <f t="shared" ca="1" si="11"/>
        <v>661</v>
      </c>
    </row>
    <row r="52" spans="1:19">
      <c r="A52" s="142" t="s">
        <v>3545</v>
      </c>
      <c r="B52" s="52">
        <f>面积信息!B36</f>
        <v>193.24</v>
      </c>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ca="1" si="20"/>
        <v>34698</v>
      </c>
      <c r="S52" s="308">
        <f t="shared" ca="1" si="11"/>
        <v>671</v>
      </c>
    </row>
    <row r="53" spans="1:19">
      <c r="A53" s="142" t="s">
        <v>3546</v>
      </c>
      <c r="B53" s="52">
        <f>面积信息!B37</f>
        <v>185.94</v>
      </c>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ca="1" si="20"/>
        <v>34698</v>
      </c>
      <c r="S53" s="308">
        <f t="shared" ca="1" si="11"/>
        <v>645</v>
      </c>
    </row>
    <row r="54" spans="1:19">
      <c r="A54" s="142" t="s">
        <v>3547</v>
      </c>
      <c r="B54" s="52">
        <f>面积信息!B38</f>
        <v>190.42</v>
      </c>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ca="1" si="20"/>
        <v>34698</v>
      </c>
      <c r="S54" s="308">
        <f t="shared" ca="1" si="11"/>
        <v>661</v>
      </c>
    </row>
    <row r="55" spans="1:19">
      <c r="A55" s="142" t="s">
        <v>3548</v>
      </c>
      <c r="B55" s="52">
        <f>面积信息!B39</f>
        <v>190.42</v>
      </c>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ca="1" si="20"/>
        <v>34698</v>
      </c>
      <c r="S55" s="308">
        <f t="shared" ref="S55:S77" ca="1" si="21">ROUND(R55*B55/10000,0)</f>
        <v>661</v>
      </c>
    </row>
    <row r="56" spans="1:19">
      <c r="A56" s="142" t="s">
        <v>3549</v>
      </c>
      <c r="B56" s="52">
        <f>面积信息!B40</f>
        <v>185.94</v>
      </c>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ca="1" si="20"/>
        <v>34698</v>
      </c>
      <c r="S56" s="308">
        <f t="shared" ca="1" si="21"/>
        <v>645</v>
      </c>
    </row>
    <row r="57" spans="1:19">
      <c r="A57" s="142" t="s">
        <v>3550</v>
      </c>
      <c r="B57" s="52">
        <f>面积信息!B41</f>
        <v>185.94</v>
      </c>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ca="1" si="20"/>
        <v>34698</v>
      </c>
      <c r="S57" s="308">
        <f t="shared" ca="1" si="21"/>
        <v>645</v>
      </c>
    </row>
    <row r="58" spans="1:19">
      <c r="A58" s="142" t="s">
        <v>3551</v>
      </c>
      <c r="B58" s="52">
        <f>面积信息!B42</f>
        <v>185.94</v>
      </c>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ca="1" si="20"/>
        <v>34698</v>
      </c>
      <c r="S58" s="308">
        <f t="shared" ca="1" si="21"/>
        <v>645</v>
      </c>
    </row>
    <row r="59" spans="1:19">
      <c r="A59" s="142" t="s">
        <v>3552</v>
      </c>
      <c r="B59" s="52">
        <f>面积信息!B43</f>
        <v>193.24</v>
      </c>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ca="1" si="20"/>
        <v>34698</v>
      </c>
      <c r="S59" s="308">
        <f t="shared" ca="1" si="21"/>
        <v>671</v>
      </c>
    </row>
    <row r="60" spans="1:19">
      <c r="A60" s="142" t="s">
        <v>3553</v>
      </c>
      <c r="B60" s="52">
        <f>面积信息!B44</f>
        <v>200.08</v>
      </c>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ca="1" si="20"/>
        <v>34698</v>
      </c>
      <c r="S60" s="308">
        <f t="shared" ca="1" si="21"/>
        <v>694</v>
      </c>
    </row>
    <row r="61" spans="1:19">
      <c r="A61" s="142" t="s">
        <v>3554</v>
      </c>
      <c r="B61" s="52">
        <f>面积信息!B45</f>
        <v>190.42</v>
      </c>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ca="1" si="20"/>
        <v>34698</v>
      </c>
      <c r="S61" s="308">
        <f t="shared" ca="1" si="21"/>
        <v>661</v>
      </c>
    </row>
    <row r="62" spans="1:19">
      <c r="A62" s="142" t="s">
        <v>3555</v>
      </c>
      <c r="B62" s="52">
        <f>面积信息!B46</f>
        <v>190.42</v>
      </c>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ca="1" si="20"/>
        <v>34698</v>
      </c>
      <c r="S62" s="308">
        <f t="shared" ca="1" si="21"/>
        <v>661</v>
      </c>
    </row>
    <row r="63" spans="1:19">
      <c r="A63" s="142" t="s">
        <v>3556</v>
      </c>
      <c r="B63" s="52">
        <f>面积信息!B47</f>
        <v>190.42</v>
      </c>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ca="1" si="20"/>
        <v>34698</v>
      </c>
      <c r="S63" s="308">
        <f t="shared" ca="1" si="21"/>
        <v>661</v>
      </c>
    </row>
    <row r="64" spans="1:19">
      <c r="A64" s="142" t="s">
        <v>3557</v>
      </c>
      <c r="B64" s="52">
        <f>面积信息!B48</f>
        <v>190.42</v>
      </c>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ca="1" si="20"/>
        <v>34698</v>
      </c>
      <c r="S64" s="308">
        <f t="shared" ca="1" si="21"/>
        <v>661</v>
      </c>
    </row>
    <row r="65" spans="1:19">
      <c r="A65" s="142" t="s">
        <v>3558</v>
      </c>
      <c r="B65" s="52">
        <f>面积信息!B49</f>
        <v>190.42</v>
      </c>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ca="1" si="20"/>
        <v>34698</v>
      </c>
      <c r="S65" s="308">
        <f t="shared" ca="1" si="21"/>
        <v>661</v>
      </c>
    </row>
    <row r="66" spans="1:19">
      <c r="A66" s="142" t="s">
        <v>3559</v>
      </c>
      <c r="B66" s="52">
        <f>面积信息!B50</f>
        <v>193.24</v>
      </c>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ca="1" si="20"/>
        <v>34698</v>
      </c>
      <c r="S66" s="308">
        <f t="shared" ca="1" si="21"/>
        <v>671</v>
      </c>
    </row>
    <row r="67" spans="1:19">
      <c r="A67" s="142" t="s">
        <v>3560</v>
      </c>
      <c r="B67" s="52">
        <f>面积信息!B51</f>
        <v>185.94</v>
      </c>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ca="1" si="20"/>
        <v>34698</v>
      </c>
      <c r="S67" s="308">
        <f t="shared" ca="1" si="21"/>
        <v>645</v>
      </c>
    </row>
    <row r="68" spans="1:19">
      <c r="A68" s="142" t="s">
        <v>3561</v>
      </c>
      <c r="B68" s="52">
        <f>面积信息!B52</f>
        <v>190.42</v>
      </c>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ca="1" si="20"/>
        <v>34698</v>
      </c>
      <c r="S68" s="308">
        <f t="shared" ca="1" si="21"/>
        <v>661</v>
      </c>
    </row>
    <row r="69" spans="1:19">
      <c r="A69" s="142" t="s">
        <v>3562</v>
      </c>
      <c r="B69" s="52">
        <f>面积信息!B53</f>
        <v>190.42</v>
      </c>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ca="1" si="20"/>
        <v>34698</v>
      </c>
      <c r="S69" s="308">
        <f t="shared" ca="1" si="21"/>
        <v>661</v>
      </c>
    </row>
    <row r="70" spans="1:19">
      <c r="A70" s="142" t="s">
        <v>3563</v>
      </c>
      <c r="B70" s="52">
        <f>面积信息!B54</f>
        <v>185.94</v>
      </c>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ca="1" si="20"/>
        <v>34698</v>
      </c>
      <c r="S70" s="308">
        <f t="shared" ca="1" si="21"/>
        <v>645</v>
      </c>
    </row>
    <row r="71" spans="1:19">
      <c r="A71" s="142" t="s">
        <v>3564</v>
      </c>
      <c r="B71" s="52">
        <f>面积信息!B55</f>
        <v>190.42</v>
      </c>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ca="1" si="20"/>
        <v>34698</v>
      </c>
      <c r="S71" s="308">
        <f t="shared" ca="1" si="21"/>
        <v>661</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f>面积信息!B57</f>
        <v>0</v>
      </c>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ca="1" si="20"/>
        <v>34698</v>
      </c>
      <c r="S73" s="308">
        <f t="shared" ca="1" si="21"/>
        <v>0</v>
      </c>
    </row>
    <row r="74" spans="1:19">
      <c r="A74" s="142"/>
      <c r="B74" s="52">
        <f>面积信息!B58</f>
        <v>0</v>
      </c>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ca="1" si="20"/>
        <v>34698</v>
      </c>
      <c r="S74" s="308">
        <f t="shared" ca="1" si="21"/>
        <v>0</v>
      </c>
    </row>
    <row r="75" spans="1:19">
      <c r="A75" s="142"/>
      <c r="B75" s="52">
        <f>面积信息!B59</f>
        <v>0</v>
      </c>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ca="1" si="20"/>
        <v>34698</v>
      </c>
      <c r="S75" s="308">
        <f t="shared" ca="1" si="21"/>
        <v>0</v>
      </c>
    </row>
    <row r="76" spans="1:19">
      <c r="A76" s="142"/>
      <c r="B76" s="52">
        <f>面积信息!B60</f>
        <v>0</v>
      </c>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ca="1" si="20"/>
        <v>34698</v>
      </c>
      <c r="S76" s="308">
        <f t="shared" ca="1" si="21"/>
        <v>0</v>
      </c>
    </row>
    <row r="77" spans="1:19">
      <c r="A77" s="142"/>
      <c r="B77" s="52">
        <f>面积信息!B61</f>
        <v>0</v>
      </c>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ca="1" si="20"/>
        <v>34698</v>
      </c>
      <c r="S77" s="308">
        <f t="shared" ca="1" si="21"/>
        <v>0</v>
      </c>
    </row>
    <row r="78" spans="1:19">
      <c r="A78" s="142"/>
      <c r="B78" s="52">
        <f>面积信息!B62</f>
        <v>0</v>
      </c>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ca="1" si="20"/>
        <v>34698</v>
      </c>
      <c r="S78" s="308">
        <f t="shared" ref="S78:S122" ca="1" si="22">ROUND(R78*B78/10000,0)</f>
        <v>0</v>
      </c>
    </row>
    <row r="79" spans="1:19">
      <c r="A79" s="142"/>
      <c r="B79" s="52">
        <f>面积信息!B63</f>
        <v>0</v>
      </c>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ca="1" si="20"/>
        <v>34698</v>
      </c>
      <c r="S79" s="308">
        <f t="shared" ca="1" si="22"/>
        <v>0</v>
      </c>
    </row>
    <row r="80" spans="1:19">
      <c r="A80" s="142"/>
      <c r="B80" s="52">
        <f>面积信息!B64</f>
        <v>0</v>
      </c>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ca="1" si="20"/>
        <v>34698</v>
      </c>
      <c r="S80" s="308">
        <f t="shared" ca="1" si="22"/>
        <v>0</v>
      </c>
    </row>
    <row r="81" spans="1:19">
      <c r="A81" s="142"/>
      <c r="B81" s="52">
        <f>面积信息!B65</f>
        <v>0</v>
      </c>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ca="1" si="20"/>
        <v>34698</v>
      </c>
      <c r="S81" s="308">
        <f t="shared" ca="1" si="22"/>
        <v>0</v>
      </c>
    </row>
    <row r="82" spans="1:19">
      <c r="A82" s="142"/>
      <c r="B82" s="52">
        <f>面积信息!B66</f>
        <v>0</v>
      </c>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ca="1" si="20"/>
        <v>34698</v>
      </c>
      <c r="S82" s="308">
        <f t="shared" ca="1" si="22"/>
        <v>0</v>
      </c>
    </row>
    <row r="83" spans="1:19">
      <c r="A83" s="142"/>
      <c r="B83" s="52">
        <f>面积信息!B67</f>
        <v>0</v>
      </c>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ca="1" si="20"/>
        <v>34698</v>
      </c>
      <c r="S83" s="308">
        <f t="shared" ca="1" si="22"/>
        <v>0</v>
      </c>
    </row>
    <row r="84" spans="1:19">
      <c r="A84" s="142"/>
      <c r="B84" s="52">
        <f>面积信息!B68</f>
        <v>0</v>
      </c>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ca="1" si="20"/>
        <v>34698</v>
      </c>
      <c r="S84" s="308">
        <f t="shared" ca="1" si="22"/>
        <v>0</v>
      </c>
    </row>
    <row r="85" spans="1:19">
      <c r="A85" s="142"/>
      <c r="B85" s="52">
        <f>面积信息!B69</f>
        <v>0</v>
      </c>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ca="1" si="20"/>
        <v>34698</v>
      </c>
      <c r="S85" s="308">
        <f t="shared" ca="1" si="22"/>
        <v>0</v>
      </c>
    </row>
    <row r="86" spans="1:19">
      <c r="A86" s="142"/>
      <c r="B86" s="52">
        <f>面积信息!B70</f>
        <v>0</v>
      </c>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ca="1" si="20"/>
        <v>34698</v>
      </c>
      <c r="S86" s="308">
        <f t="shared" ca="1" si="22"/>
        <v>0</v>
      </c>
    </row>
    <row r="87" spans="1:19">
      <c r="A87" s="142"/>
      <c r="B87" s="52">
        <f>面积信息!B71</f>
        <v>0</v>
      </c>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ca="1" si="20"/>
        <v>34698</v>
      </c>
      <c r="S87" s="308">
        <f t="shared" ca="1" si="22"/>
        <v>0</v>
      </c>
    </row>
    <row r="88" spans="1:19">
      <c r="A88" s="142"/>
      <c r="B88" s="52">
        <f>面积信息!B72</f>
        <v>0</v>
      </c>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ca="1" si="20"/>
        <v>34698</v>
      </c>
      <c r="S88" s="308">
        <f t="shared" ca="1" si="22"/>
        <v>0</v>
      </c>
    </row>
    <row r="89" spans="1:19">
      <c r="A89" s="142"/>
      <c r="B89" s="52">
        <f>面积信息!B73</f>
        <v>0</v>
      </c>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ca="1" si="20"/>
        <v>34698</v>
      </c>
      <c r="S89" s="308">
        <f t="shared" ca="1" si="22"/>
        <v>0</v>
      </c>
    </row>
    <row r="90" spans="1:19">
      <c r="A90" s="142"/>
      <c r="B90" s="52">
        <f>面积信息!B74</f>
        <v>0</v>
      </c>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ca="1" si="31">IF(B90="",0,ROUND($R$24*C90*E90*G90*I90*K90*M90*O90*Q90,0))</f>
        <v>34698</v>
      </c>
      <c r="S90" s="308">
        <f t="shared" ca="1" si="22"/>
        <v>0</v>
      </c>
    </row>
    <row r="91" spans="1:19">
      <c r="A91" s="142"/>
      <c r="B91" s="52">
        <f>面积信息!B75</f>
        <v>0</v>
      </c>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ca="1" si="31"/>
        <v>34698</v>
      </c>
      <c r="S91" s="308">
        <f t="shared" ca="1" si="22"/>
        <v>0</v>
      </c>
    </row>
    <row r="92" spans="1:19">
      <c r="A92" s="142"/>
      <c r="B92" s="52">
        <f>面积信息!B76</f>
        <v>0</v>
      </c>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ca="1" si="31"/>
        <v>34698</v>
      </c>
      <c r="S92" s="308">
        <f t="shared" ca="1" si="22"/>
        <v>0</v>
      </c>
    </row>
    <row r="93" spans="1:19">
      <c r="A93" s="142"/>
      <c r="B93" s="52">
        <f>面积信息!B77</f>
        <v>0</v>
      </c>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ca="1" si="31"/>
        <v>34698</v>
      </c>
      <c r="S93" s="308">
        <f t="shared" ca="1" si="22"/>
        <v>0</v>
      </c>
    </row>
    <row r="94" spans="1:19">
      <c r="A94" s="142"/>
      <c r="B94" s="52">
        <f>面积信息!B78</f>
        <v>0</v>
      </c>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ca="1" si="31"/>
        <v>34698</v>
      </c>
      <c r="S94" s="308">
        <f t="shared" ca="1" si="22"/>
        <v>0</v>
      </c>
    </row>
    <row r="95" spans="1:19">
      <c r="A95" s="142"/>
      <c r="B95" s="52">
        <f>面积信息!B79</f>
        <v>0</v>
      </c>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ca="1" si="31"/>
        <v>34698</v>
      </c>
      <c r="S95" s="308">
        <f t="shared" ca="1" si="22"/>
        <v>0</v>
      </c>
    </row>
    <row r="96" spans="1:19">
      <c r="A96" s="142"/>
      <c r="B96" s="52">
        <f>面积信息!B80</f>
        <v>0</v>
      </c>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ca="1" si="31"/>
        <v>34698</v>
      </c>
      <c r="S96" s="308">
        <f t="shared" ca="1" si="22"/>
        <v>0</v>
      </c>
    </row>
    <row r="97" spans="1:19">
      <c r="A97" s="142"/>
      <c r="B97" s="52">
        <f>面积信息!B81</f>
        <v>0</v>
      </c>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ca="1" si="31"/>
        <v>34698</v>
      </c>
      <c r="S97" s="308">
        <f t="shared" ca="1" si="22"/>
        <v>0</v>
      </c>
    </row>
    <row r="98" spans="1:19">
      <c r="A98" s="142"/>
      <c r="B98" s="52">
        <f>面积信息!B82</f>
        <v>0</v>
      </c>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ca="1" si="31"/>
        <v>34698</v>
      </c>
      <c r="S98" s="308">
        <f t="shared" ca="1" si="22"/>
        <v>0</v>
      </c>
    </row>
    <row r="99" spans="1:19">
      <c r="A99" s="142"/>
      <c r="B99" s="52">
        <f>面积信息!B83</f>
        <v>0</v>
      </c>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ca="1" si="31"/>
        <v>34698</v>
      </c>
      <c r="S99" s="308">
        <f t="shared" ca="1" si="22"/>
        <v>0</v>
      </c>
    </row>
    <row r="100" spans="1:19">
      <c r="A100" s="142"/>
      <c r="B100" s="52">
        <f>面积信息!B84</f>
        <v>0</v>
      </c>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ca="1" si="31"/>
        <v>34698</v>
      </c>
      <c r="S100" s="308">
        <f t="shared" ca="1" si="22"/>
        <v>0</v>
      </c>
    </row>
    <row r="101" spans="1:19">
      <c r="A101" s="142"/>
      <c r="B101" s="52">
        <f>面积信息!B85</f>
        <v>0</v>
      </c>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ca="1" si="31"/>
        <v>34698</v>
      </c>
      <c r="S101" s="308">
        <f t="shared" ca="1" si="22"/>
        <v>0</v>
      </c>
    </row>
    <row r="102" spans="1:19">
      <c r="A102" s="142"/>
      <c r="B102" s="52">
        <f>面积信息!B86</f>
        <v>0</v>
      </c>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ca="1" si="31"/>
        <v>34698</v>
      </c>
      <c r="S102" s="308">
        <f t="shared" ca="1"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3357</v>
      </c>
      <c r="E2" s="3138"/>
      <c r="F2" s="2596"/>
      <c r="G2" s="2597"/>
      <c r="H2" s="2598"/>
      <c r="I2" s="2599"/>
      <c r="J2" s="3417" t="s">
        <v>2316</v>
      </c>
      <c r="K2" s="3418"/>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419" t="s">
        <v>2326</v>
      </c>
      <c r="K3" s="3420"/>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419" t="s">
        <v>2328</v>
      </c>
      <c r="K4" s="3420"/>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421" t="s">
        <v>2332</v>
      </c>
      <c r="B6" s="3422"/>
      <c r="C6" s="3423"/>
      <c r="D6" s="2620"/>
      <c r="E6" s="2621"/>
      <c r="F6" s="2622"/>
      <c r="G6" s="2623"/>
      <c r="H6" s="2598"/>
      <c r="I6" s="2599"/>
      <c r="J6" s="3424">
        <v>1</v>
      </c>
      <c r="K6" s="3425"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424"/>
      <c r="K7" s="3426"/>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428" t="s">
        <v>2346</v>
      </c>
      <c r="C8" s="3429"/>
      <c r="D8" s="2639" t="s">
        <v>2347</v>
      </c>
      <c r="E8" s="2640" t="s">
        <v>2348</v>
      </c>
      <c r="F8" s="2641" t="s">
        <v>2349</v>
      </c>
      <c r="G8" s="2642"/>
      <c r="H8" s="2598"/>
      <c r="I8" s="2599"/>
      <c r="J8" s="3424"/>
      <c r="K8" s="3426"/>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428" t="s">
        <v>2352</v>
      </c>
      <c r="C9" s="3429"/>
      <c r="D9" s="2639">
        <f>ROUND(D6*E9,0)</f>
        <v>0</v>
      </c>
      <c r="E9" s="2643"/>
      <c r="F9" s="2644" t="s">
        <v>2353</v>
      </c>
      <c r="G9" s="2623"/>
      <c r="H9" s="2598"/>
      <c r="I9" s="2599"/>
      <c r="J9" s="3424"/>
      <c r="K9" s="3426"/>
      <c r="L9" s="2633" t="s">
        <v>2354</v>
      </c>
      <c r="M9" s="2634"/>
      <c r="N9" s="2610"/>
      <c r="O9" s="2635"/>
      <c r="P9" s="2635"/>
      <c r="Q9" s="2636">
        <v>365</v>
      </c>
      <c r="R9" s="2637">
        <f t="shared" si="0"/>
        <v>0</v>
      </c>
      <c r="S9" s="2591"/>
      <c r="T9" s="2591"/>
      <c r="U9" s="2591"/>
      <c r="V9" s="2599"/>
    </row>
    <row r="10" spans="1:22" s="2603" customFormat="1" ht="13.15" customHeight="1">
      <c r="A10" s="2638">
        <v>2</v>
      </c>
      <c r="B10" s="3428" t="s">
        <v>2355</v>
      </c>
      <c r="C10" s="3429"/>
      <c r="D10" s="2639">
        <f>ROUND(D6*E10,0)</f>
        <v>0</v>
      </c>
      <c r="E10" s="2643"/>
      <c r="F10" s="2644" t="s">
        <v>2356</v>
      </c>
      <c r="G10" s="2623"/>
      <c r="H10" s="2598"/>
      <c r="I10" s="2599"/>
      <c r="J10" s="3424"/>
      <c r="K10" s="3426"/>
      <c r="L10" s="2633" t="s">
        <v>2357</v>
      </c>
      <c r="M10" s="2634"/>
      <c r="N10" s="2610"/>
      <c r="O10" s="2635"/>
      <c r="P10" s="2635"/>
      <c r="Q10" s="2636">
        <v>365</v>
      </c>
      <c r="R10" s="2637">
        <f t="shared" si="0"/>
        <v>0</v>
      </c>
      <c r="S10" s="2591"/>
      <c r="T10" s="2591"/>
      <c r="U10" s="2591"/>
      <c r="V10" s="2599"/>
    </row>
    <row r="11" spans="1:22" s="2603" customFormat="1" ht="13.15" customHeight="1">
      <c r="A11" s="2638">
        <v>3</v>
      </c>
      <c r="B11" s="3428" t="s">
        <v>2358</v>
      </c>
      <c r="C11" s="3429"/>
      <c r="D11" s="2639">
        <f>D12+D14+D15+D16</f>
        <v>0</v>
      </c>
      <c r="E11" s="2645" t="e">
        <f>D11/D6</f>
        <v>#DIV/0!</v>
      </c>
      <c r="F11" s="2641"/>
      <c r="G11" s="2642"/>
      <c r="H11" s="2598"/>
      <c r="I11" s="2599"/>
      <c r="J11" s="3424"/>
      <c r="K11" s="3426"/>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430" t="s">
        <v>2361</v>
      </c>
      <c r="C12" s="3431"/>
      <c r="D12" s="2647">
        <f>ROUND(D13*1.2%*(1-30%),0)</f>
        <v>0</v>
      </c>
      <c r="E12" s="2648">
        <v>1.2E-2</v>
      </c>
      <c r="F12" s="2641" t="s">
        <v>2362</v>
      </c>
      <c r="G12" s="2642"/>
      <c r="H12" s="2598"/>
      <c r="I12" s="2599"/>
      <c r="J12" s="3424"/>
      <c r="K12" s="3426"/>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424"/>
      <c r="K13" s="3426"/>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430" t="s">
        <v>2367</v>
      </c>
      <c r="C14" s="3431"/>
      <c r="D14" s="2647">
        <f>ROUND(E14*B5/10000,0)</f>
        <v>0</v>
      </c>
      <c r="E14" s="2636"/>
      <c r="F14" s="2641" t="s">
        <v>2368</v>
      </c>
      <c r="G14" s="2642"/>
      <c r="H14" s="2598"/>
      <c r="I14" s="2599"/>
      <c r="J14" s="3424"/>
      <c r="K14" s="3427"/>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430" t="s">
        <v>2371</v>
      </c>
      <c r="C15" s="3431"/>
      <c r="D15" s="2647">
        <f>ROUND(D6*E15,0)</f>
        <v>0</v>
      </c>
      <c r="E15" s="2648">
        <v>5.5E-2</v>
      </c>
      <c r="F15" s="2641" t="s">
        <v>2372</v>
      </c>
      <c r="G15" s="2623"/>
      <c r="H15" s="2598"/>
      <c r="I15" s="2599"/>
      <c r="J15" s="3424">
        <v>2</v>
      </c>
      <c r="K15" s="3425"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430" t="s">
        <v>2380</v>
      </c>
      <c r="C16" s="3431"/>
      <c r="D16" s="2658">
        <f>D6*E16</f>
        <v>0</v>
      </c>
      <c r="E16" s="2659"/>
      <c r="F16" s="2644" t="s">
        <v>2381</v>
      </c>
      <c r="G16" s="2623"/>
      <c r="H16" s="2598"/>
      <c r="I16" s="2599"/>
      <c r="J16" s="3424"/>
      <c r="K16" s="3426"/>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432" t="s">
        <v>2383</v>
      </c>
      <c r="C17" s="3433"/>
      <c r="D17" s="2661">
        <f>ROUND(D6*E17,0)</f>
        <v>0</v>
      </c>
      <c r="E17" s="2662"/>
      <c r="F17" s="2663" t="s">
        <v>2384</v>
      </c>
      <c r="G17" s="2623"/>
      <c r="H17" s="2598"/>
      <c r="I17" s="2599"/>
      <c r="J17" s="3424"/>
      <c r="K17" s="3426"/>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424"/>
      <c r="K18" s="3426"/>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424"/>
      <c r="K19" s="3427"/>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4">
        <v>3</v>
      </c>
      <c r="K20" s="3425"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424"/>
      <c r="K21" s="3426"/>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424"/>
      <c r="K22" s="3426"/>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424"/>
      <c r="K23" s="3426"/>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424"/>
      <c r="K24" s="3427"/>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434">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43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417" t="s">
        <v>2316</v>
      </c>
      <c r="K32" s="3418"/>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419" t="s">
        <v>2326</v>
      </c>
      <c r="K33" s="3420"/>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419" t="s">
        <v>2328</v>
      </c>
      <c r="K34" s="342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424">
        <v>1</v>
      </c>
      <c r="K36" s="3425"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424"/>
      <c r="K37" s="3426"/>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4"/>
      <c r="K38" s="3426"/>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424"/>
      <c r="K39" s="3426"/>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424"/>
      <c r="K40" s="3427"/>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4">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43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224</v>
      </c>
      <c r="C2" s="1729" t="s">
        <v>1651</v>
      </c>
      <c r="D2" s="1730" t="s">
        <v>1652</v>
      </c>
      <c r="E2" s="2392">
        <f>SUM(E6:E13)</f>
        <v>216.68</v>
      </c>
      <c r="F2" s="2478"/>
      <c r="G2" s="459"/>
      <c r="H2" s="459"/>
      <c r="I2" s="459"/>
      <c r="J2" s="459"/>
      <c r="K2" s="459"/>
      <c r="L2" s="459"/>
      <c r="M2" s="459"/>
      <c r="N2" s="459"/>
      <c r="O2" s="459"/>
      <c r="P2" s="459"/>
      <c r="Q2" s="459"/>
      <c r="R2" s="459"/>
      <c r="S2" s="459"/>
    </row>
    <row r="3" spans="1:22" ht="15.75">
      <c r="A3" s="1728" t="s">
        <v>686</v>
      </c>
      <c r="B3" s="2386">
        <f ca="1">ROUND(B2*10000/E2,0)</f>
        <v>10338</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6" t="s">
        <v>1654</v>
      </c>
      <c r="C5" s="3437"/>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223</v>
      </c>
      <c r="C6" s="1729" t="s">
        <v>1651</v>
      </c>
      <c r="D6" s="2478"/>
      <c r="E6" s="2391">
        <f>IF(OR(A6=0,F6="否"),0,'数据-取费表'!K6+'数据-取费表'!S6)</f>
        <v>185.94</v>
      </c>
      <c r="F6" s="1732" t="s">
        <v>1657</v>
      </c>
      <c r="G6" s="459"/>
      <c r="H6" s="459"/>
      <c r="I6" s="459"/>
      <c r="J6" s="459"/>
      <c r="K6" s="459"/>
      <c r="L6" s="459"/>
      <c r="M6" s="459"/>
      <c r="N6" s="459"/>
      <c r="O6" s="459"/>
      <c r="P6" s="459"/>
      <c r="Q6" s="459"/>
      <c r="R6" s="459"/>
      <c r="S6" s="459"/>
    </row>
    <row r="7" spans="1:22">
      <c r="A7" s="2389" t="str">
        <f>'数据-取费表'!AN7</f>
        <v>收益法 （车位）</v>
      </c>
      <c r="B7" s="2387">
        <f ca="1">IF(F7="是",'数据-取费表'!AO7,0)</f>
        <v>1</v>
      </c>
      <c r="C7" s="1729" t="s">
        <v>1651</v>
      </c>
      <c r="D7" s="2478"/>
      <c r="E7" s="2391">
        <f>IF(OR(A7=0,F7="否"),0,'数据-取费表'!K7+'数据-取费表'!S7)</f>
        <v>30.74</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216.68</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8" t="s">
        <v>1771</v>
      </c>
      <c r="S4" s="3369"/>
      <c r="T4" s="3368" t="s">
        <v>1772</v>
      </c>
      <c r="U4" s="3369"/>
      <c r="V4" s="3391" t="s">
        <v>1773</v>
      </c>
      <c r="W4" s="3391"/>
      <c r="X4" s="1265"/>
      <c r="Y4" s="3368" t="s">
        <v>1775</v>
      </c>
      <c r="Z4" s="3369"/>
      <c r="AA4" s="3363" t="s">
        <v>1771</v>
      </c>
      <c r="AB4" s="3391" t="s">
        <v>1772</v>
      </c>
      <c r="AC4" s="3363" t="s">
        <v>1773</v>
      </c>
    </row>
    <row r="5" spans="1:29" ht="15">
      <c r="A5" s="348"/>
      <c r="B5" s="349"/>
      <c r="C5" s="3440" t="s">
        <v>1673</v>
      </c>
      <c r="D5" s="3441"/>
      <c r="E5" s="3438" t="s">
        <v>1674</v>
      </c>
      <c r="F5" s="3439"/>
      <c r="G5" s="3440" t="s">
        <v>1675</v>
      </c>
      <c r="H5" s="3441"/>
      <c r="I5" s="3440" t="s">
        <v>1676</v>
      </c>
      <c r="J5" s="3441"/>
      <c r="K5" s="537"/>
      <c r="L5" s="2485"/>
      <c r="M5" s="2486"/>
      <c r="N5" s="2486"/>
      <c r="O5" s="2486"/>
      <c r="P5" s="3385"/>
      <c r="Q5" s="3386"/>
      <c r="R5" s="3370"/>
      <c r="S5" s="3371"/>
      <c r="T5" s="3370"/>
      <c r="U5" s="3371"/>
      <c r="V5" s="3391"/>
      <c r="W5" s="3391"/>
      <c r="X5" s="1265"/>
      <c r="Y5" s="3370"/>
      <c r="Z5" s="3371"/>
      <c r="AA5" s="3364"/>
      <c r="AB5" s="3391"/>
      <c r="AC5" s="3364"/>
    </row>
    <row r="6" spans="1:29" ht="15.75" thickBot="1">
      <c r="A6" s="350"/>
      <c r="B6" s="351"/>
      <c r="C6" s="3374" t="s">
        <v>1677</v>
      </c>
      <c r="D6" s="3375"/>
      <c r="E6" s="3376" t="s">
        <v>1677</v>
      </c>
      <c r="F6" s="3377"/>
      <c r="G6" s="3374" t="s">
        <v>1677</v>
      </c>
      <c r="H6" s="3375"/>
      <c r="I6" s="3374" t="s">
        <v>1677</v>
      </c>
      <c r="J6" s="3375"/>
      <c r="K6" s="537" t="s">
        <v>1678</v>
      </c>
      <c r="L6" s="2485"/>
      <c r="M6" s="2486"/>
      <c r="N6" s="2486"/>
      <c r="O6" s="2486"/>
      <c r="P6" s="3387"/>
      <c r="Q6" s="3388"/>
      <c r="R6" s="3370"/>
      <c r="S6" s="3371"/>
      <c r="T6" s="3389"/>
      <c r="U6" s="3390"/>
      <c r="V6" s="3391"/>
      <c r="W6" s="3391"/>
      <c r="X6" s="1265"/>
      <c r="Y6" s="3389"/>
      <c r="Z6" s="3390"/>
      <c r="AA6" s="3365"/>
      <c r="AB6" s="3391"/>
      <c r="AC6" s="3365"/>
    </row>
    <row r="7" spans="1:29" s="102" customFormat="1" ht="15.75" thickBot="1">
      <c r="A7" s="352" t="s">
        <v>1679</v>
      </c>
      <c r="B7" s="353"/>
      <c r="C7" s="354">
        <f>'数据-取费表'!B2</f>
        <v>45824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6" t="s">
        <v>1680</v>
      </c>
      <c r="Q7" s="3392"/>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8"/>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8"/>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8"/>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8"/>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5"/>
      <c r="Q16" s="1263"/>
      <c r="R16" s="667"/>
      <c r="S16" s="668"/>
      <c r="T16" s="667"/>
      <c r="U16" s="668"/>
      <c r="V16" s="667"/>
      <c r="W16" s="668"/>
      <c r="X16" s="1265"/>
      <c r="Y16" s="3398"/>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1"/>
      <c r="M18" s="2486"/>
      <c r="N18" s="2486"/>
      <c r="O18" s="2486"/>
      <c r="P18" s="3405"/>
      <c r="Q18" s="1263"/>
      <c r="R18" s="667"/>
      <c r="S18" s="668"/>
      <c r="T18" s="667"/>
      <c r="U18" s="668"/>
      <c r="V18" s="667"/>
      <c r="W18" s="668"/>
      <c r="X18" s="1265"/>
      <c r="Y18" s="3398"/>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1"/>
      <c r="M20" s="2486"/>
      <c r="N20" s="2486"/>
      <c r="O20" s="2486"/>
      <c r="P20" s="3405"/>
      <c r="Q20" s="1263"/>
      <c r="R20" s="667"/>
      <c r="S20" s="668"/>
      <c r="T20" s="667"/>
      <c r="U20" s="668"/>
      <c r="V20" s="667"/>
      <c r="W20" s="668"/>
      <c r="X20" s="1265"/>
      <c r="Y20" s="3398"/>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1"/>
      <c r="M22" s="2486"/>
      <c r="N22" s="2486"/>
      <c r="O22" s="2486"/>
      <c r="P22" s="3405"/>
      <c r="Q22" s="1263"/>
      <c r="R22" s="667"/>
      <c r="S22" s="668"/>
      <c r="T22" s="667"/>
      <c r="U22" s="668"/>
      <c r="V22" s="667"/>
      <c r="W22" s="668"/>
      <c r="X22" s="1265"/>
      <c r="Y22" s="3398"/>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1"/>
      <c r="M24" s="2486"/>
      <c r="N24" s="2486"/>
      <c r="O24" s="2486"/>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96" t="str">
        <f>A47</f>
        <v>成交单价（元/平方米）</v>
      </c>
      <c r="Q47" s="3396"/>
      <c r="R47" s="3391">
        <f>E47</f>
        <v>0</v>
      </c>
      <c r="S47" s="3391"/>
      <c r="T47" s="3391">
        <f>G47</f>
        <v>0</v>
      </c>
      <c r="U47" s="3391"/>
      <c r="V47" s="3391">
        <f>I47</f>
        <v>0</v>
      </c>
      <c r="W47" s="3391"/>
      <c r="X47" s="385"/>
      <c r="Y47" s="673"/>
      <c r="Z47" s="385"/>
      <c r="AA47" s="385"/>
      <c r="AB47" s="385"/>
      <c r="AC47" s="385"/>
    </row>
    <row r="48" spans="1:29" ht="15.75" thickBot="1">
      <c r="A48" s="423" t="s">
        <v>1793</v>
      </c>
      <c r="B48" s="424"/>
      <c r="C48" s="1082" t="e">
        <f>R49</f>
        <v>#DIV/0!</v>
      </c>
      <c r="D48" s="2140" t="s">
        <v>2137</v>
      </c>
      <c r="E48" s="1083" t="e">
        <f>R48</f>
        <v>#DIV/0!</v>
      </c>
      <c r="F48" s="2141"/>
      <c r="G48" s="1082" t="e">
        <f>T48</f>
        <v>#DIV/0!</v>
      </c>
      <c r="H48" s="2141"/>
      <c r="I48" s="1083" t="e">
        <f>V48</f>
        <v>#DIV/0!</v>
      </c>
      <c r="J48" s="2141"/>
      <c r="K48" s="2143">
        <f>F48+H48+J48</f>
        <v>0</v>
      </c>
      <c r="L48" s="2493"/>
      <c r="M48" s="2486"/>
      <c r="N48" s="2486"/>
      <c r="O48" s="2486"/>
      <c r="P48" s="3396" t="str">
        <f>A48</f>
        <v>比较价值（元/平方米）</v>
      </c>
      <c r="Q48" s="339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cfRule type="containsText" dxfId="123" priority="17" stopIfTrue="1" operator="containsText" text="超过">
      <formula>NOT(ISERROR(SEARCH("超过",F52)))</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G54">
    <cfRule type="expression" dxfId="120" priority="13"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conditionalFormatting sqref="J52:J54">
    <cfRule type="containsText" dxfId="11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216.68</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448" t="s">
        <v>1775</v>
      </c>
      <c r="Q4" s="3449"/>
      <c r="R4" s="3443" t="s">
        <v>1771</v>
      </c>
      <c r="S4" s="3444"/>
      <c r="T4" s="3443" t="s">
        <v>1772</v>
      </c>
      <c r="U4" s="3444"/>
      <c r="V4" s="3452" t="s">
        <v>1773</v>
      </c>
      <c r="W4" s="3452"/>
      <c r="X4" s="1808"/>
      <c r="Y4" s="3443" t="s">
        <v>1775</v>
      </c>
      <c r="Z4" s="3444"/>
      <c r="AA4" s="3442" t="s">
        <v>1771</v>
      </c>
      <c r="AB4" s="3442" t="s">
        <v>1772</v>
      </c>
      <c r="AC4" s="3445" t="s">
        <v>1773</v>
      </c>
    </row>
    <row r="5" spans="1:29" ht="15">
      <c r="A5" s="348"/>
      <c r="B5" s="349"/>
      <c r="C5" s="3440" t="s">
        <v>1673</v>
      </c>
      <c r="D5" s="3441"/>
      <c r="E5" s="3438" t="s">
        <v>1674</v>
      </c>
      <c r="F5" s="3439"/>
      <c r="G5" s="3440" t="s">
        <v>1675</v>
      </c>
      <c r="H5" s="3441"/>
      <c r="I5" s="3440" t="s">
        <v>1676</v>
      </c>
      <c r="J5" s="3441"/>
      <c r="K5" s="537"/>
      <c r="L5" s="2485"/>
      <c r="M5" s="2486"/>
      <c r="N5" s="2486"/>
      <c r="O5" s="2486"/>
      <c r="P5" s="3450"/>
      <c r="Q5" s="3386"/>
      <c r="R5" s="3370"/>
      <c r="S5" s="3371"/>
      <c r="T5" s="3370"/>
      <c r="U5" s="3371"/>
      <c r="V5" s="3391"/>
      <c r="W5" s="3391"/>
      <c r="X5" s="1265"/>
      <c r="Y5" s="3370"/>
      <c r="Z5" s="3371"/>
      <c r="AA5" s="3364"/>
      <c r="AB5" s="3364"/>
      <c r="AC5" s="3446"/>
    </row>
    <row r="6" spans="1:29" ht="15.75" thickBot="1">
      <c r="A6" s="350"/>
      <c r="B6" s="351"/>
      <c r="C6" s="3374" t="s">
        <v>1677</v>
      </c>
      <c r="D6" s="3375"/>
      <c r="E6" s="3376" t="s">
        <v>1677</v>
      </c>
      <c r="F6" s="3377"/>
      <c r="G6" s="3374" t="s">
        <v>1677</v>
      </c>
      <c r="H6" s="3375"/>
      <c r="I6" s="3374" t="s">
        <v>1677</v>
      </c>
      <c r="J6" s="3375"/>
      <c r="K6" s="537" t="s">
        <v>1678</v>
      </c>
      <c r="L6" s="2485"/>
      <c r="M6" s="2486"/>
      <c r="N6" s="2486"/>
      <c r="O6" s="2486"/>
      <c r="P6" s="3451"/>
      <c r="Q6" s="3388"/>
      <c r="R6" s="3370"/>
      <c r="S6" s="3371"/>
      <c r="T6" s="3389"/>
      <c r="U6" s="3390"/>
      <c r="V6" s="3391"/>
      <c r="W6" s="3391"/>
      <c r="X6" s="1265"/>
      <c r="Y6" s="3389"/>
      <c r="Z6" s="3390"/>
      <c r="AA6" s="3365"/>
      <c r="AB6" s="3365"/>
      <c r="AC6" s="3447"/>
    </row>
    <row r="7" spans="1:29" s="102" customFormat="1" ht="15.75" thickBot="1">
      <c r="A7" s="352" t="s">
        <v>1679</v>
      </c>
      <c r="B7" s="353"/>
      <c r="C7" s="354">
        <f>'数据-取费表'!B2</f>
        <v>45824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392"/>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367"/>
      <c r="R8" s="664" t="s">
        <v>14</v>
      </c>
      <c r="S8" s="665">
        <f t="shared" si="0"/>
        <v>100</v>
      </c>
      <c r="T8" s="664" t="s">
        <v>14</v>
      </c>
      <c r="U8" s="665">
        <f t="shared" si="1"/>
        <v>100</v>
      </c>
      <c r="V8" s="664" t="s">
        <v>14</v>
      </c>
      <c r="W8" s="665">
        <f t="shared" si="2"/>
        <v>100</v>
      </c>
      <c r="X8" s="666"/>
      <c r="Y8" s="3366" t="s">
        <v>1683</v>
      </c>
      <c r="Z8" s="336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8"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8"/>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8"/>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8"/>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8"/>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78"/>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1"/>
      <c r="M16" s="2486"/>
      <c r="N16" s="2486"/>
      <c r="O16" s="2486"/>
      <c r="P16" s="3405"/>
      <c r="Q16" s="1263"/>
      <c r="R16" s="667"/>
      <c r="S16" s="668"/>
      <c r="T16" s="667"/>
      <c r="U16" s="668"/>
      <c r="V16" s="667"/>
      <c r="W16" s="668"/>
      <c r="X16" s="1265"/>
      <c r="Y16" s="3398"/>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5"/>
      <c r="Q18" s="1263"/>
      <c r="R18" s="667"/>
      <c r="S18" s="668"/>
      <c r="T18" s="667"/>
      <c r="U18" s="668"/>
      <c r="V18" s="667"/>
      <c r="W18" s="668"/>
      <c r="X18" s="1265"/>
      <c r="Y18" s="3398"/>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5"/>
      <c r="Q20" s="1263"/>
      <c r="R20" s="667"/>
      <c r="S20" s="668"/>
      <c r="T20" s="667"/>
      <c r="U20" s="668"/>
      <c r="V20" s="667"/>
      <c r="W20" s="668"/>
      <c r="X20" s="1265"/>
      <c r="Y20" s="3398"/>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405"/>
      <c r="Q22" s="1263"/>
      <c r="R22" s="667"/>
      <c r="S22" s="668"/>
      <c r="T22" s="667"/>
      <c r="U22" s="668"/>
      <c r="V22" s="667"/>
      <c r="W22" s="668"/>
      <c r="X22" s="1265"/>
      <c r="Y22" s="3398"/>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5"/>
      <c r="Q24" s="1263"/>
      <c r="R24" s="667"/>
      <c r="S24" s="668"/>
      <c r="T24" s="667"/>
      <c r="U24" s="668"/>
      <c r="V24" s="667"/>
      <c r="W24" s="668"/>
      <c r="X24" s="1265"/>
      <c r="Y24" s="3398"/>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405"/>
      <c r="Q26" s="1263"/>
      <c r="R26" s="667"/>
      <c r="S26" s="668"/>
      <c r="T26" s="667"/>
      <c r="U26" s="668"/>
      <c r="V26" s="667"/>
      <c r="W26" s="668"/>
      <c r="X26" s="1265"/>
      <c r="Y26" s="3398"/>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5"/>
      <c r="Q27" s="1263" t="str">
        <f t="shared" ref="Q27:Q47" si="11">B27</f>
        <v>楼层</v>
      </c>
      <c r="R27" s="667" t="s">
        <v>14</v>
      </c>
      <c r="S27" s="668">
        <f>F27</f>
        <v>100</v>
      </c>
      <c r="T27" s="667" t="s">
        <v>14</v>
      </c>
      <c r="U27" s="668">
        <f>H27</f>
        <v>100</v>
      </c>
      <c r="V27" s="667" t="s">
        <v>14</v>
      </c>
      <c r="W27" s="668">
        <f>J27</f>
        <v>100</v>
      </c>
      <c r="X27" s="1265"/>
      <c r="Y27" s="3398"/>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0"/>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0"/>
      <c r="Q37" s="1263" t="str">
        <f t="shared" si="11"/>
        <v>成新度</v>
      </c>
      <c r="R37" s="667" t="s">
        <v>14</v>
      </c>
      <c r="S37" s="668" t="e">
        <f t="shared" si="12"/>
        <v>#N/A</v>
      </c>
      <c r="T37" s="667" t="s">
        <v>14</v>
      </c>
      <c r="U37" s="668" t="e">
        <f t="shared" si="13"/>
        <v>#N/A</v>
      </c>
      <c r="V37" s="667" t="s">
        <v>14</v>
      </c>
      <c r="W37" s="668" t="e">
        <f t="shared" si="14"/>
        <v>#N/A</v>
      </c>
      <c r="X37" s="1265"/>
      <c r="Y37" s="3402"/>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78" t="str">
        <f>A48</f>
        <v>成交单价（元/平方米）</v>
      </c>
      <c r="Q48" s="3396"/>
      <c r="R48" s="3391">
        <f>E48</f>
        <v>0</v>
      </c>
      <c r="S48" s="3391"/>
      <c r="T48" s="3391">
        <f>G48</f>
        <v>0</v>
      </c>
      <c r="U48" s="3391"/>
      <c r="V48" s="3391">
        <f>I48</f>
        <v>0</v>
      </c>
      <c r="W48" s="3391"/>
      <c r="X48" s="385"/>
      <c r="Y48" s="673"/>
      <c r="Z48" s="385"/>
      <c r="AA48" s="385"/>
      <c r="AB48" s="385"/>
      <c r="AC48" s="555"/>
    </row>
    <row r="49" spans="1:29" ht="15.75" thickBot="1">
      <c r="A49" s="423" t="s">
        <v>1793</v>
      </c>
      <c r="B49" s="424"/>
      <c r="C49" s="1082" t="e">
        <f>R50</f>
        <v>#DIV/0!</v>
      </c>
      <c r="D49" s="2140" t="s">
        <v>2137</v>
      </c>
      <c r="E49" s="1083" t="e">
        <f>R49</f>
        <v>#DIV/0!</v>
      </c>
      <c r="F49" s="2141"/>
      <c r="G49" s="1082" t="e">
        <f>T49</f>
        <v>#DIV/0!</v>
      </c>
      <c r="H49" s="2141"/>
      <c r="I49" s="1083" t="e">
        <f>V49</f>
        <v>#DIV/0!</v>
      </c>
      <c r="J49" s="2141"/>
      <c r="K49" s="2143">
        <f>F49+H49+J49</f>
        <v>0</v>
      </c>
      <c r="L49" s="2493"/>
      <c r="M49" s="2486"/>
      <c r="N49" s="2486"/>
      <c r="O49" s="2486"/>
      <c r="P49" s="3378" t="str">
        <f>A49</f>
        <v>比较价值（元/平方米）</v>
      </c>
      <c r="Q49" s="339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F7:F47 H7:H47 J7:J47">
    <cfRule type="cellIs" dxfId="110" priority="1" operator="notEqual">
      <formula>100</formula>
    </cfRule>
  </conditionalFormatting>
  <conditionalFormatting sqref="F49">
    <cfRule type="expression" dxfId="109" priority="4">
      <formula>$D$49="简单平均"</formula>
    </cfRule>
  </conditionalFormatting>
  <conditionalFormatting sqref="F53:F55 H53:H55">
    <cfRule type="containsText" dxfId="108" priority="17" stopIfTrue="1" operator="containsText" text="超过">
      <formula>NOT(ISERROR(SEARCH("超过",F53)))</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G55">
    <cfRule type="expression" dxfId="105" priority="13" stopIfTrue="1">
      <formula>$H$55="超过30%"</formula>
    </cfRule>
  </conditionalFormatting>
  <conditionalFormatting sqref="H49">
    <cfRule type="expression" dxfId="104" priority="3">
      <formula>$D$49="简单平均"</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J49">
    <cfRule type="expression" dxfId="100" priority="2">
      <formula>$D$49="简单平均"</formula>
    </cfRule>
  </conditionalFormatting>
  <conditionalFormatting sqref="J53:J55">
    <cfRule type="containsText" dxfId="9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216.68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860"/>
      <c r="M4" s="861"/>
      <c r="N4" s="861"/>
      <c r="O4" s="861"/>
      <c r="P4" s="3383" t="s">
        <v>1775</v>
      </c>
      <c r="Q4" s="3384"/>
      <c r="R4" s="3368" t="s">
        <v>1771</v>
      </c>
      <c r="S4" s="3369"/>
      <c r="T4" s="3368" t="s">
        <v>1772</v>
      </c>
      <c r="U4" s="3369"/>
      <c r="V4" s="3391" t="s">
        <v>1773</v>
      </c>
      <c r="W4" s="3391"/>
      <c r="X4" s="1265"/>
      <c r="Y4" s="3368" t="s">
        <v>1775</v>
      </c>
      <c r="Z4" s="3369"/>
      <c r="AA4" s="3363" t="s">
        <v>1771</v>
      </c>
      <c r="AB4" s="3364" t="s">
        <v>1772</v>
      </c>
      <c r="AC4" s="3363" t="s">
        <v>1773</v>
      </c>
    </row>
    <row r="5" spans="1:29" ht="15">
      <c r="A5" s="348"/>
      <c r="B5" s="349"/>
      <c r="C5" s="3440" t="s">
        <v>1673</v>
      </c>
      <c r="D5" s="3441"/>
      <c r="E5" s="3438" t="s">
        <v>1674</v>
      </c>
      <c r="F5" s="3439"/>
      <c r="G5" s="3440" t="s">
        <v>1675</v>
      </c>
      <c r="H5" s="3441"/>
      <c r="I5" s="3440" t="s">
        <v>1676</v>
      </c>
      <c r="J5" s="3441"/>
      <c r="K5" s="537"/>
      <c r="L5" s="860"/>
      <c r="M5" s="861"/>
      <c r="N5" s="861"/>
      <c r="O5" s="861"/>
      <c r="P5" s="3385"/>
      <c r="Q5" s="3386"/>
      <c r="R5" s="3370"/>
      <c r="S5" s="3371"/>
      <c r="T5" s="3370"/>
      <c r="U5" s="3371"/>
      <c r="V5" s="3391"/>
      <c r="W5" s="3391"/>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860"/>
      <c r="M6" s="861"/>
      <c r="N6" s="861"/>
      <c r="O6" s="861"/>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2"/>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6" t="str">
        <f>A41</f>
        <v>成交单价（元/平方米）</v>
      </c>
      <c r="Q41" s="3396"/>
      <c r="R41" s="3391">
        <f>E41</f>
        <v>0</v>
      </c>
      <c r="S41" s="3391"/>
      <c r="T41" s="3391">
        <f>G41</f>
        <v>0</v>
      </c>
      <c r="U41" s="3391"/>
      <c r="V41" s="3391">
        <f>I41</f>
        <v>0</v>
      </c>
      <c r="W41" s="3391"/>
      <c r="X41" s="385"/>
      <c r="Y41" s="673"/>
      <c r="Z41" s="385"/>
      <c r="AA41" s="385"/>
      <c r="AB41" s="385"/>
      <c r="AC41" s="385"/>
    </row>
    <row r="42" spans="1:29" ht="15.75" thickBot="1">
      <c r="A42" s="423" t="s">
        <v>1793</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396" t="str">
        <f>A42</f>
        <v>比较价值（元/平方米）</v>
      </c>
      <c r="Q42" s="339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F7:F40 H7:H40 J7:J40">
    <cfRule type="cellIs" dxfId="95" priority="1" operator="notEqual">
      <formula>100</formula>
    </cfRule>
  </conditionalFormatting>
  <conditionalFormatting sqref="F42">
    <cfRule type="expression" dxfId="94" priority="4">
      <formula>$D$42="简单平均"</formula>
    </cfRule>
  </conditionalFormatting>
  <conditionalFormatting sqref="F46:F48 H46:H48">
    <cfRule type="containsText" dxfId="93" priority="17" stopIfTrue="1" operator="containsText" text="超过">
      <formula>NOT(ISERROR(SEARCH("超过",F46)))</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G48">
    <cfRule type="expression" dxfId="90" priority="13" stopIfTrue="1">
      <formula>$H$48="超过30%"</formula>
    </cfRule>
  </conditionalFormatting>
  <conditionalFormatting sqref="H42">
    <cfRule type="expression" dxfId="89" priority="3">
      <formula>$D$42="简单平均"</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J42">
    <cfRule type="expression" dxfId="85" priority="2">
      <formula>$D$42="简单平均"</formula>
    </cfRule>
  </conditionalFormatting>
  <conditionalFormatting sqref="J46:J48">
    <cfRule type="containsText" dxfId="8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J55" sqref="J5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3481</v>
      </c>
      <c r="D1" s="646"/>
      <c r="E1" s="646"/>
      <c r="F1" s="1621" t="s">
        <v>1263</v>
      </c>
      <c r="G1" s="1453" t="s">
        <v>3474</v>
      </c>
      <c r="H1" s="1621" t="str">
        <f>IF(G1="现房","——","估价对象范围")</f>
        <v>——</v>
      </c>
      <c r="I1" s="1622"/>
    </row>
    <row r="2" spans="1:12" ht="21.75" customHeight="1" thickBot="1">
      <c r="A2" s="3333" t="str">
        <f>项目基本情况!S2</f>
        <v>北京市房山区揽秀南街15号院5号楼5-1-4等47套住宅、13号院10幢-1-1006等1147个地下车位房地产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3515</v>
      </c>
      <c r="D4" s="1626" t="s">
        <v>3516</v>
      </c>
      <c r="E4" s="3342" t="s">
        <v>1267</v>
      </c>
      <c r="F4" s="3343"/>
      <c r="G4" s="3343"/>
      <c r="H4" s="3343"/>
      <c r="I4" s="3344"/>
      <c r="K4" s="138" t="str">
        <f>IF(ISNUMBER(FIND("比较法",'结果表 -车位'!C4)),"比较法",IF(ISNUMBER(FIND("成本法",'结果表 -车位'!C4)),"成本法",IF(ISNUMBER(FIND("假设开发法",'结果表 -车位'!C4)),"假设开发法",IF(ISNUMBER(FIND("收益法",'结果表 -车位'!C4)),"收益法","基准地价系数修正法"))))</f>
        <v>比较法</v>
      </c>
      <c r="L4" s="138"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8</v>
      </c>
      <c r="D14" s="3327">
        <v>2</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2130</v>
      </c>
      <c r="F18" s="3359"/>
      <c r="G18" s="3359"/>
      <c r="H18" s="3359"/>
      <c r="I18" s="3359"/>
      <c r="K18" s="294" t="s">
        <v>1289</v>
      </c>
      <c r="L18" s="294">
        <f>IF(C1="",'数据-汇总表'!E3,SUMIF(项目类型,C1,'数据-汇总表'!E17:E26)+SUMIF(项目类型,C1,'数据-汇总表'!I17:I26))</f>
        <v>30.74</v>
      </c>
      <c r="M18" s="294">
        <f>IF(C1="",'数据-汇总表'!E3,SUMIF(项目类型,C1,'数据-汇总表'!E17:E26))</f>
        <v>30.74</v>
      </c>
    </row>
    <row r="19" spans="1:36" ht="15">
      <c r="A19" s="1630" t="s">
        <v>1290</v>
      </c>
      <c r="B19" s="1631" t="s">
        <v>1291</v>
      </c>
      <c r="C19" s="126">
        <f ca="1">SUMIF(INDIRECT("'"&amp;C4&amp;"'"&amp;"!A:A"),'结果表 -车位'!B19,INDIRECT("'"&amp;C4&amp;"'"&amp;"!B:B"))</f>
        <v>19</v>
      </c>
      <c r="D19" s="127">
        <f ca="1">SUMIF(INDIRECT("'"&amp;D4&amp;"'"&amp;"!A:A"),'结果表 -车位'!B19,INDIRECT("'"&amp;D4&amp;"'"&amp;"!B:B"))</f>
        <v>3.1798999999999999</v>
      </c>
      <c r="E19" s="1630" t="s">
        <v>1292</v>
      </c>
      <c r="F19" s="1631" t="s">
        <v>1291</v>
      </c>
      <c r="G19" s="128">
        <f ca="1">ROUND(C19*$C$18+D19*$D$18,0)</f>
        <v>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 -车位'!B20,INDIRECT("'"&amp;C4&amp;"'"&amp;"!B:B"))</f>
        <v>6128</v>
      </c>
      <c r="D20" s="130">
        <f ca="1">SUMIF(INDIRECT("'"&amp;D4&amp;"'"&amp;"!A:A"),'结果表 -车位'!B20,INDIRECT("'"&amp;D4&amp;"'"&amp;"!B:B"))</f>
        <v>1034</v>
      </c>
      <c r="E20" s="1633"/>
      <c r="F20" s="43" t="s">
        <v>1295</v>
      </c>
      <c r="G20" s="131">
        <f ca="1">ROUND(C20*$C$18+D20*$D$18,0)</f>
        <v>5109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4.9750306613415516</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3171" t="s">
        <v>3583</v>
      </c>
      <c r="F24" s="1620">
        <v>1147</v>
      </c>
      <c r="G24" s="3171" t="s">
        <v>3582</v>
      </c>
      <c r="H24" s="121"/>
      <c r="I24" s="121"/>
    </row>
    <row r="25" spans="1:36" ht="14.25">
      <c r="A25" s="3352"/>
      <c r="B25" s="43" t="s">
        <v>1295</v>
      </c>
      <c r="C25" s="133">
        <f>IF(B30=0,0,C30)</f>
        <v>0</v>
      </c>
      <c r="D25" s="1638"/>
      <c r="E25" s="3171" t="s">
        <v>3502</v>
      </c>
      <c r="F25" s="1620">
        <f ca="1">F24*G19</f>
        <v>18352</v>
      </c>
      <c r="G25" s="3171" t="s">
        <v>3412</v>
      </c>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5109</v>
      </c>
      <c r="D32" s="1641" t="s">
        <v>3565</v>
      </c>
      <c r="E32" s="121"/>
      <c r="F32" s="121"/>
      <c r="G32" s="121"/>
      <c r="H32" s="121"/>
      <c r="I32" s="121"/>
    </row>
    <row r="33" spans="1:15" ht="15">
      <c r="A33" s="740" t="s">
        <v>1306</v>
      </c>
      <c r="B33" s="123"/>
      <c r="C33" s="1642" t="s">
        <v>3508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1301</v>
      </c>
      <c r="C39" s="1658" t="s">
        <v>1302</v>
      </c>
      <c r="D39" s="1658" t="s">
        <v>1320</v>
      </c>
      <c r="E39" s="1659" t="s">
        <v>1303</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3176">
        <f ca="1">F25</f>
        <v>18352</v>
      </c>
      <c r="E45" s="148" t="s">
        <v>1327</v>
      </c>
      <c r="F45" s="149">
        <v>1</v>
      </c>
      <c r="G45" s="150" t="s">
        <v>1328</v>
      </c>
      <c r="H45" s="121"/>
      <c r="I45" s="121"/>
      <c r="J45" s="3267" t="s">
        <v>1329</v>
      </c>
      <c r="K45" s="3267"/>
      <c r="L45" s="3267"/>
      <c r="M45" s="3267"/>
      <c r="N45" s="3267"/>
      <c r="O45" s="3267"/>
    </row>
    <row r="46" spans="1:15" ht="14.25" customHeight="1">
      <c r="A46" s="3345" t="s">
        <v>1330</v>
      </c>
      <c r="B46" s="3346"/>
      <c r="C46" s="3346"/>
      <c r="D46" s="3346"/>
      <c r="E46" s="3346"/>
      <c r="F46" s="3346"/>
      <c r="G46" s="3347"/>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45824</v>
      </c>
      <c r="N47" s="3270"/>
      <c r="O47" s="3270"/>
    </row>
    <row r="48" spans="1:15" ht="25.5">
      <c r="A48" s="3331" t="s">
        <v>1338</v>
      </c>
      <c r="B48" s="3332"/>
      <c r="C48" s="3332"/>
      <c r="D48" s="12">
        <f ca="1">IF(H48="情况1",0,IF(H48="情况2",D52,IF(H48="情况3",D53,IF(H48="情况4",D54))))</f>
        <v>979</v>
      </c>
      <c r="E48" s="1256" t="str">
        <f>IF(H48="情况4","(销售额-原购置价)×税（费）率","销售额×税（费）率")</f>
        <v>销售额×税（费）率</v>
      </c>
      <c r="F48" s="2334">
        <f>IF(H48="情况1","免征",'数据-取费表'!B41)</f>
        <v>5.6000000000000001E-2</v>
      </c>
      <c r="G48" s="2335" t="s">
        <v>1339</v>
      </c>
      <c r="H48" s="2336" t="s">
        <v>3596</v>
      </c>
      <c r="I48" s="1668"/>
      <c r="J48" s="2309">
        <v>3</v>
      </c>
      <c r="K48" s="3268" t="s">
        <v>1340</v>
      </c>
      <c r="L48" s="3268"/>
      <c r="M48" s="3272">
        <f ca="1">D45</f>
        <v>18352</v>
      </c>
      <c r="N48" s="3272"/>
      <c r="O48" s="3272"/>
    </row>
    <row r="49" spans="1:35" ht="25.5" customHeight="1">
      <c r="A49" s="2151" t="s">
        <v>1341</v>
      </c>
      <c r="B49" s="3317" t="s">
        <v>1342</v>
      </c>
      <c r="C49" s="3317"/>
      <c r="D49" s="1478">
        <v>0</v>
      </c>
      <c r="E49" s="316" t="s">
        <v>1343</v>
      </c>
      <c r="F49" s="2232" t="s">
        <v>28</v>
      </c>
      <c r="G49" s="3300"/>
      <c r="H49" s="2133" t="s">
        <v>2133</v>
      </c>
      <c r="I49" s="2134"/>
      <c r="J49" s="2309">
        <v>4</v>
      </c>
      <c r="K49" s="3268" t="str">
        <f>IF(项目基本情况!E8="房地产抵押价值","房地产抵押价值","抵押担保权已注销时的房地产抵押价值")</f>
        <v>房地产抵押价值</v>
      </c>
      <c r="L49" s="3268"/>
      <c r="M49" s="3272">
        <f ca="1">D45</f>
        <v>18352</v>
      </c>
      <c r="N49" s="3272"/>
      <c r="O49" s="3272"/>
    </row>
    <row r="50" spans="1:35" ht="25.5" customHeight="1">
      <c r="A50" s="2337"/>
      <c r="B50" s="3317" t="s">
        <v>1344</v>
      </c>
      <c r="C50" s="3317"/>
      <c r="D50" s="2188"/>
      <c r="E50" s="323"/>
      <c r="F50" s="2232"/>
      <c r="G50" s="3301"/>
      <c r="H50" s="2135" t="s">
        <v>2134</v>
      </c>
      <c r="I50" s="2134"/>
      <c r="J50" s="3267" t="s">
        <v>1345</v>
      </c>
      <c r="K50" s="3267"/>
      <c r="L50" s="3267"/>
      <c r="M50" s="3267"/>
      <c r="N50" s="3267"/>
      <c r="O50" s="3267"/>
    </row>
    <row r="51" spans="1:35" ht="20.45" customHeight="1">
      <c r="A51" s="2338"/>
      <c r="B51" s="3317" t="s">
        <v>1346</v>
      </c>
      <c r="C51" s="3317"/>
      <c r="D51" s="1024"/>
      <c r="E51" s="319"/>
      <c r="F51" s="2232"/>
      <c r="G51" s="3302"/>
      <c r="H51" s="2135" t="s">
        <v>2135</v>
      </c>
      <c r="I51" s="2134"/>
      <c r="J51" s="2310" t="s">
        <v>1347</v>
      </c>
      <c r="K51" s="3268" t="s">
        <v>1348</v>
      </c>
      <c r="L51" s="3268"/>
      <c r="M51" s="2310" t="s">
        <v>1349</v>
      </c>
      <c r="N51" s="2310" t="s">
        <v>1350</v>
      </c>
      <c r="O51" s="2310" t="s">
        <v>1351</v>
      </c>
    </row>
    <row r="52" spans="1:35" ht="24" customHeight="1">
      <c r="A52" s="2152" t="s">
        <v>1352</v>
      </c>
      <c r="B52" s="3317" t="s">
        <v>1353</v>
      </c>
      <c r="C52" s="3317"/>
      <c r="D52" s="1024">
        <f ca="1">ROUND(D45*'数据-取费表'!B41/(1+'数据-取费表'!C42),0)</f>
        <v>979</v>
      </c>
      <c r="E52" s="1256" t="s">
        <v>1354</v>
      </c>
      <c r="F52" s="2339">
        <f>'数据-取费表'!B41</f>
        <v>5.6000000000000001E-2</v>
      </c>
      <c r="G52" s="2340"/>
      <c r="H52" s="2330"/>
      <c r="I52" s="1669"/>
      <c r="J52" s="2309">
        <v>1</v>
      </c>
      <c r="K52" s="3294" t="s">
        <v>1355</v>
      </c>
      <c r="L52" s="3294"/>
      <c r="M52" s="2311">
        <f ca="1">D48</f>
        <v>979</v>
      </c>
      <c r="N52" s="2309" t="str">
        <f>E48</f>
        <v>销售额×税（费）率</v>
      </c>
      <c r="O52" s="2312">
        <f>F48</f>
        <v>5.6000000000000001E-2</v>
      </c>
    </row>
    <row r="53" spans="1:35" ht="12" customHeight="1">
      <c r="A53" s="2152" t="s">
        <v>1356</v>
      </c>
      <c r="B53" s="3318" t="s">
        <v>2290</v>
      </c>
      <c r="C53" s="3319"/>
      <c r="D53" s="1024">
        <f ca="1">ROUND(D45*'数据-取费表'!B41/(1+'数据-取费表'!C42),0)</f>
        <v>979</v>
      </c>
      <c r="E53" s="1256" t="s">
        <v>1354</v>
      </c>
      <c r="F53" s="2339">
        <f>'数据-取费表'!B41</f>
        <v>5.6000000000000001E-2</v>
      </c>
      <c r="G53" s="2340"/>
      <c r="H53" s="2330"/>
      <c r="I53" s="1669"/>
      <c r="J53" s="2309">
        <v>2</v>
      </c>
      <c r="K53" s="3294" t="s">
        <v>1357</v>
      </c>
      <c r="L53" s="3294"/>
      <c r="M53" s="2311">
        <f t="shared" ref="M53:O54" ca="1" si="0">D55</f>
        <v>9</v>
      </c>
      <c r="N53" s="2309" t="str">
        <f t="shared" si="0"/>
        <v>销售额×税（费）率</v>
      </c>
      <c r="O53" s="2312">
        <f t="shared" si="0"/>
        <v>5.0000000000000001E-4</v>
      </c>
    </row>
    <row r="54" spans="1:35" ht="12" customHeight="1">
      <c r="A54" s="2152" t="s">
        <v>1358</v>
      </c>
      <c r="B54" s="3318" t="s">
        <v>2291</v>
      </c>
      <c r="C54" s="3319"/>
      <c r="D54" s="1024">
        <f ca="1">C68</f>
        <v>979</v>
      </c>
      <c r="E54" s="319" t="s">
        <v>1359</v>
      </c>
      <c r="F54" s="2339">
        <f>'数据-取费表'!B41</f>
        <v>5.6000000000000001E-2</v>
      </c>
      <c r="G54" s="2340"/>
      <c r="H54" s="2341"/>
      <c r="I54" s="1669"/>
      <c r="J54" s="2309">
        <v>3</v>
      </c>
      <c r="K54" s="3294" t="s">
        <v>1360</v>
      </c>
      <c r="L54" s="3294"/>
      <c r="M54" s="2311">
        <f t="shared" ca="1" si="0"/>
        <v>0</v>
      </c>
      <c r="N54" s="2309" t="str">
        <f t="shared" si="0"/>
        <v>增值额×税（费）率</v>
      </c>
      <c r="O54" s="2313" t="str">
        <f t="shared" si="0"/>
        <v>——</v>
      </c>
    </row>
    <row r="55" spans="1:35" ht="24" customHeight="1">
      <c r="A55" s="3354" t="s">
        <v>1361</v>
      </c>
      <c r="B55" s="3332"/>
      <c r="C55" s="3332"/>
      <c r="D55" s="12">
        <f ca="1">IF(H55="个人住宅",0,ROUND(D45*I55,0))</f>
        <v>9</v>
      </c>
      <c r="E55" s="1256" t="s">
        <v>1362</v>
      </c>
      <c r="F55" s="2339">
        <f>IF(H55="正常",I55,"免征")</f>
        <v>5.0000000000000001E-4</v>
      </c>
      <c r="G55" s="2340"/>
      <c r="H55" s="2336" t="s">
        <v>3497</v>
      </c>
      <c r="I55" s="157">
        <f>'数据-取费表'!B49</f>
        <v>5.0000000000000001E-4</v>
      </c>
      <c r="J55" s="2309" t="str">
        <f>IF(H59="非个人房产","",4)</f>
        <v/>
      </c>
      <c r="K55" s="3294" t="str">
        <f>IF(H59="非个人房产","——","个人所得税")</f>
        <v>——</v>
      </c>
      <c r="L55" s="3294"/>
      <c r="M55" s="2314" t="str">
        <f>D59</f>
        <v>——</v>
      </c>
      <c r="N55" s="1882" t="str">
        <f>E59</f>
        <v>——</v>
      </c>
      <c r="O55" s="2315" t="str">
        <f>F59</f>
        <v>——</v>
      </c>
    </row>
    <row r="56" spans="1:35" ht="24.75">
      <c r="A56" s="3354" t="s">
        <v>1363</v>
      </c>
      <c r="B56" s="3332"/>
      <c r="C56" s="3332"/>
      <c r="D56" s="12">
        <f ca="1">IF(H56="个人住宅",D57,D58)</f>
        <v>0</v>
      </c>
      <c r="E56" s="1256" t="s">
        <v>1364</v>
      </c>
      <c r="F56" s="2339" t="str">
        <f>IF(H56="正常",F58,"免征")</f>
        <v>——</v>
      </c>
      <c r="G56" s="2342" t="s">
        <v>1365</v>
      </c>
      <c r="H56" s="2343" t="s">
        <v>3497</v>
      </c>
      <c r="I56" s="1670"/>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2.75">
      <c r="A57" s="2152" t="s">
        <v>1341</v>
      </c>
      <c r="B57" s="3318" t="s">
        <v>1366</v>
      </c>
      <c r="C57" s="3319"/>
      <c r="D57" s="1478">
        <v>0</v>
      </c>
      <c r="E57" s="316" t="s">
        <v>1343</v>
      </c>
      <c r="F57" s="294"/>
      <c r="G57" s="2340"/>
      <c r="H57" s="2344"/>
      <c r="I57" s="1670"/>
      <c r="J57" s="3294">
        <f>IF(AND(J55="",J56=""),4,IF(项目基本情况!K6="上海银行",'结果表 -车位'!J56+1,'结果表 -车位'!J55+1))</f>
        <v>4</v>
      </c>
      <c r="K57" s="3294" t="s">
        <v>1367</v>
      </c>
      <c r="L57" s="2316" t="s">
        <v>1368</v>
      </c>
      <c r="M57" s="2317"/>
      <c r="N57" s="2318">
        <f ca="1">SUMIF(M52:M56,"&lt;9e307")</f>
        <v>988</v>
      </c>
      <c r="O57" s="2319"/>
      <c r="P57" s="2463">
        <f ca="1">N57/M49</f>
        <v>5.3836094158674803E-2</v>
      </c>
    </row>
    <row r="58" spans="1:35" ht="24.75">
      <c r="A58" s="2152" t="s">
        <v>1352</v>
      </c>
      <c r="B58" s="3318" t="s">
        <v>1369</v>
      </c>
      <c r="C58" s="3317"/>
      <c r="D58" s="12">
        <f ca="1">IF(H58="转让取得",C81,C97)</f>
        <v>0</v>
      </c>
      <c r="E58" s="1256" t="s">
        <v>1364</v>
      </c>
      <c r="F58" s="294" t="s">
        <v>28</v>
      </c>
      <c r="G58" s="2340"/>
      <c r="H58" s="2343" t="s">
        <v>3597</v>
      </c>
      <c r="I58" s="1670"/>
      <c r="J58" s="3294"/>
      <c r="K58" s="3294"/>
      <c r="L58" s="2316" t="s">
        <v>1370</v>
      </c>
      <c r="M58" s="2320"/>
      <c r="N58" s="2321" t="str">
        <f ca="1">NUMBERSTRING(INT(N57*10000),2)&amp;"元整"</f>
        <v>玖佰捌拾捌万元整</v>
      </c>
      <c r="O58" s="2322"/>
    </row>
    <row r="59" spans="1:35" ht="24.75" thickBot="1">
      <c r="A59" s="3298" t="s">
        <v>1371</v>
      </c>
      <c r="B59" s="3299"/>
      <c r="C59" s="3299"/>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3598</v>
      </c>
      <c r="I59" s="2136" t="s">
        <v>2136</v>
      </c>
      <c r="J59" s="3296">
        <f>J57+1</f>
        <v>5</v>
      </c>
      <c r="K59" s="3294" t="s">
        <v>1372</v>
      </c>
      <c r="L59" s="2309" t="s">
        <v>1368</v>
      </c>
      <c r="M59" s="2323"/>
      <c r="N59" s="2324">
        <f ca="1">M49-N57</f>
        <v>17364</v>
      </c>
      <c r="O59" s="2325"/>
    </row>
    <row r="60" spans="1:35" ht="12" customHeight="1">
      <c r="A60" s="1671"/>
      <c r="B60" s="646"/>
      <c r="C60" s="646"/>
      <c r="D60" s="646"/>
      <c r="E60" s="1466"/>
      <c r="F60" s="1670"/>
      <c r="G60" s="1670"/>
      <c r="H60" s="151"/>
      <c r="I60" s="121"/>
      <c r="J60" s="3297"/>
      <c r="K60" s="3294"/>
      <c r="L60" s="2316" t="s">
        <v>1370</v>
      </c>
      <c r="M60" s="2320"/>
      <c r="N60" s="2321" t="str">
        <f ca="1">NUMBERSTRING(INT(N59*10000),2)&amp;"元整"</f>
        <v>壹亿柒仟叁佰陆拾肆万元整</v>
      </c>
      <c r="O60" s="2322"/>
    </row>
    <row r="61" spans="1:35" ht="13.5" thickBot="1">
      <c r="A61" s="3353" t="s">
        <v>1373</v>
      </c>
      <c r="B61" s="3353"/>
      <c r="C61" s="3353"/>
      <c r="D61" s="3353"/>
      <c r="E61" s="3353"/>
      <c r="F61" s="1670"/>
      <c r="G61" s="1670"/>
      <c r="H61" s="151"/>
      <c r="I61" s="121"/>
      <c r="J61" s="2309">
        <f>J59+1</f>
        <v>6</v>
      </c>
      <c r="K61" s="3294" t="s">
        <v>1374</v>
      </c>
      <c r="L61" s="3294"/>
      <c r="M61" s="2326"/>
      <c r="N61" s="2327">
        <f ca="1">ROUND(N59*10000/'数据-汇总表'!E3,0)</f>
        <v>801366</v>
      </c>
      <c r="O61" s="2328"/>
    </row>
    <row r="62" spans="1:35" ht="12.75">
      <c r="A62" s="3313" t="s">
        <v>1375</v>
      </c>
      <c r="B62" s="3314"/>
      <c r="C62" s="1864"/>
      <c r="D62" s="1864" t="s">
        <v>1376</v>
      </c>
      <c r="E62" s="158" t="s">
        <v>1377</v>
      </c>
      <c r="F62" s="1670"/>
      <c r="G62" s="1670"/>
      <c r="H62" s="151"/>
      <c r="I62" s="121"/>
    </row>
    <row r="63" spans="1:35" ht="12.75">
      <c r="A63" s="165" t="s">
        <v>330</v>
      </c>
      <c r="B63" s="159" t="s">
        <v>1378</v>
      </c>
      <c r="C63" s="2349">
        <f ca="1">ROUND((C64+C65)/(1+'数据-取费表'!C42),0)</f>
        <v>17478</v>
      </c>
      <c r="D63" s="159"/>
      <c r="E63" s="160"/>
      <c r="F63" s="1670"/>
      <c r="G63" s="1670"/>
      <c r="H63" s="151"/>
      <c r="I63" s="121"/>
      <c r="J63" s="3277" t="s">
        <v>1379</v>
      </c>
      <c r="K63" s="1245" t="s">
        <v>1380</v>
      </c>
      <c r="L63" s="1245">
        <f ca="1">IF(M49&gt;10000,M49*0.5%,IF(AND(M49&gt;1000,M49&lt;=10000),M49*1%,IF(AND(M49&gt;100,M49&lt;=1000),M49*3%,IF(AND(M49&gt;10,M49&lt;=100),M49*5%,M49*8%))))</f>
        <v>91.76</v>
      </c>
      <c r="M63" s="294">
        <f ca="1">ROUND(L63,1)</f>
        <v>91.8</v>
      </c>
      <c r="N63" s="2329"/>
      <c r="Z63" s="1623"/>
      <c r="AI63" s="1561"/>
    </row>
    <row r="64" spans="1:35" ht="14.25" customHeight="1">
      <c r="A64" s="161" t="s">
        <v>325</v>
      </c>
      <c r="B64" s="162" t="s">
        <v>1381</v>
      </c>
      <c r="C64" s="2350">
        <f ca="1">D45</f>
        <v>18352</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91.76</v>
      </c>
      <c r="M64" s="294">
        <f t="shared" ref="M64:M65" ca="1" si="1">ROUND(L64,1)</f>
        <v>91.8</v>
      </c>
      <c r="N64" s="2330" t="s">
        <v>1383</v>
      </c>
      <c r="Z64" s="1623"/>
      <c r="AI64" s="1561"/>
    </row>
    <row r="65" spans="1:35" ht="14.25" customHeight="1">
      <c r="A65" s="161" t="s">
        <v>326</v>
      </c>
      <c r="B65" s="162" t="s">
        <v>1384</v>
      </c>
      <c r="C65" s="2351"/>
      <c r="D65" s="162"/>
      <c r="E65" s="164"/>
      <c r="F65" s="1670"/>
      <c r="G65" s="1670"/>
      <c r="H65" s="151"/>
      <c r="I65" s="121"/>
      <c r="J65" s="3277"/>
      <c r="K65" s="1245" t="s">
        <v>1385</v>
      </c>
      <c r="L65" s="1245">
        <f ca="1">IF(M49&gt;1000,M49*0.1%,IF(AND(M49&gt;500,M49&lt;=1000),M49*0.5%,IF(AND(M49&gt;50,M49&lt;=500),M49*1%,IF(AND(M49&gt;1,M49&lt;=50),M49*1.5%))))</f>
        <v>18.352</v>
      </c>
      <c r="M65" s="294">
        <f t="shared" ca="1" si="1"/>
        <v>18.399999999999999</v>
      </c>
      <c r="N65" s="2330" t="s">
        <v>1383</v>
      </c>
      <c r="Z65" s="1623"/>
      <c r="AI65" s="1561"/>
    </row>
    <row r="66" spans="1:35" ht="14.25" customHeight="1">
      <c r="A66" s="165" t="s">
        <v>327</v>
      </c>
      <c r="B66" s="166" t="s">
        <v>1386</v>
      </c>
      <c r="C66" s="2352"/>
      <c r="D66" s="166" t="s">
        <v>26</v>
      </c>
      <c r="E66" s="1251" t="s">
        <v>671</v>
      </c>
      <c r="F66" s="1670"/>
      <c r="G66" s="1670"/>
      <c r="H66" s="151"/>
      <c r="I66" s="121"/>
      <c r="J66" s="3277"/>
      <c r="K66" s="1245" t="s">
        <v>1387</v>
      </c>
      <c r="L66" s="1245">
        <f ca="1">M49*0.5%</f>
        <v>91.76</v>
      </c>
      <c r="M66" s="294">
        <f ca="1">IF(L66&gt;0.5,0.5,ROUND(L66,0))</f>
        <v>0.5</v>
      </c>
      <c r="N66" s="2330" t="s">
        <v>1388</v>
      </c>
      <c r="Z66" s="1623"/>
      <c r="AI66" s="1561"/>
    </row>
    <row r="67" spans="1:35" ht="14.25" customHeight="1">
      <c r="A67" s="165" t="s">
        <v>328</v>
      </c>
      <c r="B67" s="166" t="s">
        <v>1389</v>
      </c>
      <c r="C67" s="2353">
        <f ca="1">C63-C66</f>
        <v>17478</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9.0852000000000004</v>
      </c>
      <c r="M67" s="294">
        <f ca="1">ROUND(L67*0.9,1)</f>
        <v>8.1999999999999993</v>
      </c>
      <c r="N67" s="2329"/>
      <c r="Z67" s="1623"/>
      <c r="AI67" s="1561"/>
    </row>
    <row r="68" spans="1:35" ht="14.25" customHeight="1" thickBot="1">
      <c r="A68" s="168" t="s">
        <v>329</v>
      </c>
      <c r="B68" s="169" t="s">
        <v>1391</v>
      </c>
      <c r="C68" s="2354">
        <f ca="1">IF(C67&lt;=0,0,ROUND(C67*D68,0))</f>
        <v>979</v>
      </c>
      <c r="D68" s="2355">
        <f>'数据-取费表'!B41</f>
        <v>5.6000000000000001E-2</v>
      </c>
      <c r="E68" s="170"/>
      <c r="F68" s="1670"/>
      <c r="G68" s="1670"/>
      <c r="H68" s="151"/>
      <c r="I68" s="121"/>
      <c r="J68" s="3277"/>
      <c r="K68" s="1245" t="s">
        <v>1392</v>
      </c>
      <c r="L68" s="1245">
        <f ca="1">IF(M49&gt;10000,M49*0.5%,IF(AND(M49&gt;5000,M49&lt;=10000),M49*1%,IF(AND(M49&gt;1000,M49&lt;=5000),M49*2%,IF(AND(M49&gt;200,M49&lt;=1000),M49*3%,M49*5%))))</f>
        <v>91.76</v>
      </c>
      <c r="M68" s="294">
        <f ca="1">ROUND(L68,1)</f>
        <v>91.8</v>
      </c>
      <c r="N68" s="2329"/>
      <c r="Z68" s="1623"/>
      <c r="AI68" s="1561"/>
    </row>
    <row r="69" spans="1:35" ht="16.5" customHeight="1">
      <c r="A69" s="1672"/>
      <c r="B69" s="1673"/>
      <c r="C69" s="1674"/>
      <c r="D69" s="1675"/>
      <c r="E69" s="1676"/>
      <c r="F69" s="1466"/>
      <c r="G69" s="1466"/>
      <c r="H69" s="1467"/>
      <c r="I69" s="646"/>
      <c r="J69" s="3277"/>
      <c r="K69" s="1245" t="s">
        <v>1393</v>
      </c>
      <c r="L69" s="1245"/>
      <c r="M69" s="294">
        <f ca="1">ROUND(SUM(M63:M68),0)</f>
        <v>303</v>
      </c>
      <c r="N69" s="2331">
        <f ca="1">M69/M49</f>
        <v>1.6510462074978204E-2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17478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105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105</v>
      </c>
      <c r="D78" s="2362">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1407</v>
      </c>
      <c r="C79" s="2353">
        <f ca="1">C72-C73</f>
        <v>17373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165.45714285714286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10387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17478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36382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3040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f>面积信息!B6</f>
        <v>2950</v>
      </c>
      <c r="D88" s="2362"/>
      <c r="E88" s="185" t="s">
        <v>1413</v>
      </c>
      <c r="F88" s="2147"/>
      <c r="G88" s="186" t="s">
        <v>1414</v>
      </c>
      <c r="H88" s="1684" t="s">
        <v>3599</v>
      </c>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90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79" t="s">
        <v>2128</v>
      </c>
      <c r="H90" s="3280"/>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IF(H91="——",'成本法-住宅'!C33,I91)</f>
        <v>24865</v>
      </c>
      <c r="D91" s="2362"/>
      <c r="E91" s="3310" t="s">
        <v>1419</v>
      </c>
      <c r="F91" s="3311"/>
      <c r="G91" s="3311"/>
      <c r="H91" s="1685" t="s">
        <v>3600</v>
      </c>
      <c r="I91" s="1686">
        <f>面积信息!C6</f>
        <v>24865</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2791</v>
      </c>
      <c r="D92" s="2368">
        <v>0.1</v>
      </c>
      <c r="E92" s="3310" t="s">
        <v>1422</v>
      </c>
      <c r="F92" s="3311"/>
      <c r="G92" s="3311"/>
      <c r="H92" s="3312"/>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105</v>
      </c>
      <c r="D93" s="2362">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5581</v>
      </c>
      <c r="D94" s="2362">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1407</v>
      </c>
      <c r="C95" s="2353">
        <f ca="1">ROUND(C85-C86,0)</f>
        <v>-18904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5"/>
      <c r="E100" s="3260" t="s">
        <v>1429</v>
      </c>
      <c r="F100" s="3260"/>
      <c r="G100" s="3260"/>
      <c r="H100" s="3295"/>
      <c r="I100" s="121"/>
    </row>
    <row r="101" spans="1:35" ht="18.75" customHeight="1">
      <c r="A101" s="3303" t="s">
        <v>1430</v>
      </c>
      <c r="B101" s="3304"/>
      <c r="C101" s="2370" t="str">
        <f>C4</f>
        <v>比较法-车位</v>
      </c>
      <c r="D101" s="2371" t="str">
        <f>D4</f>
        <v>收益法 (元)</v>
      </c>
      <c r="E101" s="3273" t="s">
        <v>1431</v>
      </c>
      <c r="F101" s="3274"/>
      <c r="G101" s="1687" t="s">
        <v>1432</v>
      </c>
      <c r="H101" s="2380">
        <f ca="1">H118</f>
        <v>16</v>
      </c>
      <c r="I101" s="121"/>
    </row>
    <row r="102" spans="1:35" ht="18.75" customHeight="1">
      <c r="A102" s="3305" t="s">
        <v>1433</v>
      </c>
      <c r="B102" s="2369" t="s">
        <v>1432</v>
      </c>
      <c r="C102" s="2370">
        <f ca="1">IF(D32="楼面单价",ROUND(C19,0),C19)</f>
        <v>19</v>
      </c>
      <c r="D102" s="2371">
        <f ca="1">IF(D32="楼面单价",ROUND(D19,0),D19)</f>
        <v>3</v>
      </c>
      <c r="E102" s="3273"/>
      <c r="F102" s="3274"/>
      <c r="G102" s="1687" t="s">
        <v>1434</v>
      </c>
      <c r="H102" s="2340">
        <f ca="1">I118</f>
        <v>5109</v>
      </c>
      <c r="I102" s="121"/>
    </row>
    <row r="103" spans="1:35" ht="42.75" customHeight="1">
      <c r="A103" s="3305"/>
      <c r="B103" s="2369" t="s">
        <v>1434</v>
      </c>
      <c r="C103" s="2372">
        <f ca="1">C20</f>
        <v>6128</v>
      </c>
      <c r="D103" s="2373">
        <f ca="1">D20</f>
        <v>1034</v>
      </c>
      <c r="E103" s="3265" t="s">
        <v>1435</v>
      </c>
      <c r="F103" s="3266"/>
      <c r="G103" s="1688" t="s">
        <v>1436</v>
      </c>
      <c r="H103" s="2380">
        <f>IF(D36="正常操作",H104+H105+H106,H105+H106)</f>
        <v>0</v>
      </c>
      <c r="I103" s="121"/>
    </row>
    <row r="104" spans="1:35" ht="18.75" customHeight="1">
      <c r="A104" s="3305" t="s">
        <v>1437</v>
      </c>
      <c r="B104" s="2374" t="s">
        <v>1432</v>
      </c>
      <c r="C104" s="2375">
        <f ca="1">H118</f>
        <v>16</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5109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6" t="str">
        <f>IF(项目基本情况!E8="已注销","——","3.房地产抵押价值")</f>
        <v>3.房地产抵押价值</v>
      </c>
      <c r="F107" s="3274"/>
      <c r="G107" s="1687" t="s">
        <v>1432</v>
      </c>
      <c r="H107" s="2380">
        <f ca="1">IF(E107="——","——",H101-H103)</f>
        <v>16</v>
      </c>
      <c r="I107" s="121"/>
    </row>
    <row r="108" spans="1:35" ht="18.75" customHeight="1">
      <c r="A108" s="121"/>
      <c r="B108" s="121"/>
      <c r="C108" s="121"/>
      <c r="D108" s="121"/>
      <c r="E108" s="3306"/>
      <c r="F108" s="3274"/>
      <c r="G108" s="1687" t="s">
        <v>1434</v>
      </c>
      <c r="H108" s="2340">
        <f ca="1">IF(H107=H101,H102,ROUND(H107*10000/'数据-汇总表'!E3,0))</f>
        <v>5109</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3" t="str">
        <f>IF(E109="——","——",H101-H105-H106)</f>
        <v>——</v>
      </c>
      <c r="I109" s="121"/>
    </row>
    <row r="110" spans="1:35" ht="18.75" customHeight="1">
      <c r="A110" s="121"/>
      <c r="B110" s="121"/>
      <c r="C110" s="121"/>
      <c r="D110" s="121"/>
      <c r="E110" s="3306"/>
      <c r="F110" s="3274"/>
      <c r="G110" s="1687"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08"/>
      <c r="F112" s="3309"/>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5" t="str">
        <f>项目基本情况!S2</f>
        <v>北京市房山区揽秀南街15号院5号楼5-1-4等47套住宅、13号院10幢-1-1006等1147个地下车位房地产</v>
      </c>
      <c r="B118" s="2149">
        <f>M18</f>
        <v>30.74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16</v>
      </c>
      <c r="I118" s="2149">
        <f ca="1">ROUND(IF(D32="楼面单价",C32,H118*10000/B118),0)</f>
        <v>5109</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壹拾陆万元整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16</v>
      </c>
      <c r="E122" s="3283"/>
      <c r="F122" s="3283"/>
      <c r="G122" s="3283"/>
      <c r="H122" s="3283"/>
      <c r="I122" s="3284"/>
      <c r="AA122" s="684"/>
    </row>
    <row r="123" spans="1:27" ht="18.75" customHeight="1">
      <c r="A123" s="3281" t="s">
        <v>1452</v>
      </c>
      <c r="B123" s="3281"/>
      <c r="C123" s="3281"/>
      <c r="D123" s="3287" t="str">
        <f ca="1">NUMBERSTRING(INT(D122*10000),2)&amp;"元整"</f>
        <v>壹拾陆万元整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BZSXZIth1d64a+W4Yw6In60L0rtlmEjL0uHVUCU8jPD6dXgU0mqHN2d3wUtuvTc1ZiwPXOTKF9HUnN5B19PkA==" saltValue="V+pHNxrlkkyU00GS8Xf1fw==" spinCount="100000"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C5:D7">
    <cfRule type="cellIs" dxfId="81" priority="6" stopIfTrue="1" operator="equal">
      <formula>25</formula>
    </cfRule>
  </conditionalFormatting>
  <conditionalFormatting sqref="C8:D13">
    <cfRule type="cellIs" dxfId="80" priority="5" stopIfTrue="1" operator="equal">
      <formula>15</formula>
    </cfRule>
  </conditionalFormatting>
  <conditionalFormatting sqref="C14:D16">
    <cfRule type="cellIs" dxfId="79" priority="4" stopIfTrue="1" operator="equal">
      <formula>30</formula>
    </cfRule>
  </conditionalFormatting>
  <conditionalFormatting sqref="E36">
    <cfRule type="expression" dxfId="7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7.75">
      <c r="A8" s="1385" t="s">
        <v>901</v>
      </c>
    </row>
    <row r="9" spans="1:1" ht="18.75">
      <c r="A9" s="1384" t="s">
        <v>902</v>
      </c>
    </row>
    <row r="10" spans="1:1" ht="72">
      <c r="A10" s="138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"本次评估采用的主估价方法为"&amp;'结果表-住宅'!K4&amp;"和"&amp;'结果表-住宅'!L4&amp;"。"</f>
        <v>本次评估采用的主估价方法为比较法和成本法。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34" sqref="M34"/>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7.875" style="347" customWidth="1"/>
    <col min="6" max="6" width="12.25" style="347" customWidth="1"/>
    <col min="7" max="7" width="17.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t="s">
        <v>3481</v>
      </c>
      <c r="E1" s="3130" t="s">
        <v>3495</v>
      </c>
      <c r="F1" s="1735" t="s">
        <v>3496</v>
      </c>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IF(B37="元/平方米",ROUND(C39*D3/10000,0),ROUND(F3*C39/10000,0)),IF(B37="元/平方米",ROUND(C39*D3/10000,0),ROUND(F3*C39/10000,0))-D2),IF(E1="单套模式",IF(C2="——",IF(B37="元/平方米",ROUND(C39*D3/10000,0),ROUND(F3*C39/10000,0)),IF(B37="元/平方米",ROUND(C39*D3/10000,0),ROUND(F3*C39/10000,0))-D2)))</f>
        <v>19</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6128</v>
      </c>
      <c r="C3" s="344" t="s">
        <v>1768</v>
      </c>
      <c r="D3" s="343">
        <f>SUMIF('数据-汇总表'!$C19:$C33,D1,'数据-汇总表'!$E19:$E33)</f>
        <v>30.74</v>
      </c>
      <c r="E3" s="344" t="s">
        <v>1832</v>
      </c>
      <c r="F3" s="343">
        <f>SUMIF('数据-取费表'!A5:A15,D1,'数据-取费表'!AH5:AH15)</f>
        <v>1</v>
      </c>
      <c r="G3" s="855"/>
      <c r="H3" s="855"/>
      <c r="I3" s="855"/>
      <c r="J3" s="855"/>
      <c r="K3" s="857"/>
      <c r="L3" s="2502"/>
      <c r="M3" s="2503">
        <f>IF(C2="——",IF(B37="元/平方米",ROUND(C39*D3/10000,0),ROUND(F3*C39/10000,0)),IF(B37="元/平方米",ROUND(C39*D3/10000,0),ROUND(F3*C39/10000,0))-D2)</f>
        <v>19</v>
      </c>
      <c r="N3" s="2503"/>
      <c r="O3" s="2503"/>
      <c r="P3" s="1086"/>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8" t="s">
        <v>1771</v>
      </c>
      <c r="S4" s="3369"/>
      <c r="T4" s="3368" t="s">
        <v>1772</v>
      </c>
      <c r="U4" s="3369"/>
      <c r="V4" s="3391" t="s">
        <v>1773</v>
      </c>
      <c r="W4" s="3391"/>
      <c r="X4" s="1265"/>
      <c r="Y4" s="3368" t="s">
        <v>1775</v>
      </c>
      <c r="Z4" s="3369"/>
      <c r="AA4" s="3363" t="s">
        <v>1771</v>
      </c>
      <c r="AB4" s="3364" t="s">
        <v>1772</v>
      </c>
      <c r="AC4" s="3363" t="s">
        <v>1773</v>
      </c>
    </row>
    <row r="5" spans="1:29" ht="15">
      <c r="A5" s="348"/>
      <c r="B5" s="349"/>
      <c r="C5" s="3440" t="s">
        <v>1673</v>
      </c>
      <c r="D5" s="3441"/>
      <c r="E5" s="3438" t="s">
        <v>1674</v>
      </c>
      <c r="F5" s="3439"/>
      <c r="G5" s="3440" t="s">
        <v>1675</v>
      </c>
      <c r="H5" s="3441"/>
      <c r="I5" s="3440" t="s">
        <v>1676</v>
      </c>
      <c r="J5" s="3441"/>
      <c r="K5" s="537"/>
      <c r="L5" s="2485"/>
      <c r="M5" s="2486"/>
      <c r="N5" s="2486"/>
      <c r="O5" s="2486"/>
      <c r="P5" s="3385"/>
      <c r="Q5" s="3386"/>
      <c r="R5" s="3370"/>
      <c r="S5" s="3371"/>
      <c r="T5" s="3370"/>
      <c r="U5" s="3371"/>
      <c r="V5" s="3391"/>
      <c r="W5" s="3391"/>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5"/>
      <c r="M6" s="2486"/>
      <c r="N6" s="2486"/>
      <c r="O6" s="2486"/>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v>45804</v>
      </c>
      <c r="F7" s="357">
        <f>SUMIF(48:48,YEAR(E7)&amp;"-"&amp;MONTH(E7),49:49)</f>
        <v>100</v>
      </c>
      <c r="G7" s="356">
        <v>45804</v>
      </c>
      <c r="H7" s="355">
        <f>SUMIF(48:48,YEAR(G7)&amp;"-"&amp;MONTH(G7),49:49)</f>
        <v>100</v>
      </c>
      <c r="I7" s="356">
        <v>45742</v>
      </c>
      <c r="J7" s="355">
        <f>SUMIF(48:48,YEAR(I7)&amp;"-"&amp;MONTH(I7),49:49)</f>
        <v>100</v>
      </c>
      <c r="K7" s="38"/>
      <c r="L7" s="2487"/>
      <c r="M7" s="2439"/>
      <c r="N7" s="2439"/>
      <c r="O7" s="2439"/>
      <c r="P7" s="3366" t="s">
        <v>1680</v>
      </c>
      <c r="Q7" s="3392"/>
      <c r="R7" s="664" t="s">
        <v>14</v>
      </c>
      <c r="S7" s="665">
        <f t="shared" ref="S7:S14" si="0">F7</f>
        <v>100</v>
      </c>
      <c r="T7" s="664" t="s">
        <v>14</v>
      </c>
      <c r="U7" s="665">
        <f t="shared" ref="U7:U14" si="1">H7</f>
        <v>100</v>
      </c>
      <c r="V7" s="664" t="s">
        <v>14</v>
      </c>
      <c r="W7" s="665">
        <f t="shared" ref="W7:W14" si="2">J7</f>
        <v>100</v>
      </c>
      <c r="X7" s="666"/>
      <c r="Y7" s="3366" t="s">
        <v>1680</v>
      </c>
      <c r="Z7" s="3367"/>
      <c r="AA7" s="50">
        <f>D7/F7</f>
        <v>1</v>
      </c>
      <c r="AB7" s="50">
        <f>D7/H7</f>
        <v>1</v>
      </c>
      <c r="AC7" s="50">
        <f>D7/J7</f>
        <v>1</v>
      </c>
    </row>
    <row r="8" spans="1:29" s="102" customFormat="1" ht="15.75" thickBot="1">
      <c r="A8" s="352" t="s">
        <v>1681</v>
      </c>
      <c r="B8" s="353"/>
      <c r="C8" s="358" t="s">
        <v>3497</v>
      </c>
      <c r="D8" s="355">
        <v>100</v>
      </c>
      <c r="E8" s="358" t="s">
        <v>3497</v>
      </c>
      <c r="F8" s="357">
        <f>SUMIF(51:51,E8,52:52)-SUMIF(51:51,C8,52:52)+100</f>
        <v>100</v>
      </c>
      <c r="G8" s="358" t="s">
        <v>3497</v>
      </c>
      <c r="H8" s="355">
        <f>SUMIF(51:51,G8,52:52)-SUMIF(51:51,C8,52:52)+100</f>
        <v>100</v>
      </c>
      <c r="I8" s="358" t="s">
        <v>3497</v>
      </c>
      <c r="J8" s="355">
        <f>SUMIF(51:51,I8,52:52)-SUMIF(51:51,C8,52:52)+100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6"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6"/>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71.2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8"/>
      <c r="Q15" s="1263"/>
      <c r="R15" s="667"/>
      <c r="S15" s="668"/>
      <c r="T15" s="667"/>
      <c r="U15" s="668"/>
      <c r="V15" s="667"/>
      <c r="W15" s="668"/>
      <c r="X15" s="1265"/>
      <c r="Y15" s="3398"/>
      <c r="Z15" s="1264"/>
      <c r="AA15" s="1264">
        <v>1</v>
      </c>
      <c r="AB15" s="1264">
        <v>1</v>
      </c>
      <c r="AC15" s="1264">
        <v>1</v>
      </c>
    </row>
    <row r="16" spans="1:29" ht="28.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1"/>
      <c r="M17" s="2486"/>
      <c r="N17" s="2486"/>
      <c r="O17" s="2486"/>
      <c r="P17" s="3398"/>
      <c r="Q17" s="1263"/>
      <c r="R17" s="667"/>
      <c r="S17" s="668"/>
      <c r="T17" s="667"/>
      <c r="U17" s="668"/>
      <c r="V17" s="667"/>
      <c r="W17" s="668"/>
      <c r="X17" s="1265"/>
      <c r="Y17" s="3398"/>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1"/>
      <c r="M19" s="2486"/>
      <c r="N19" s="2486"/>
      <c r="O19" s="2486"/>
      <c r="P19" s="3398"/>
      <c r="Q19" s="1263"/>
      <c r="R19" s="667"/>
      <c r="S19" s="668"/>
      <c r="T19" s="667"/>
      <c r="U19" s="668"/>
      <c r="V19" s="667"/>
      <c r="W19" s="668"/>
      <c r="X19" s="1265"/>
      <c r="Y19" s="3398"/>
      <c r="Z19" s="1264"/>
      <c r="AA19" s="1264">
        <v>1</v>
      </c>
      <c r="AB19" s="1264">
        <v>1</v>
      </c>
      <c r="AC19" s="1264">
        <v>1</v>
      </c>
    </row>
    <row r="20" spans="1:29" ht="42.75">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574" t="s">
        <v>1694</v>
      </c>
      <c r="B26" s="59" t="s">
        <v>1836</v>
      </c>
      <c r="C26" s="1819" t="str">
        <f>B1</f>
        <v>车库</v>
      </c>
      <c r="D26" s="387">
        <v>100</v>
      </c>
      <c r="E26" s="386" t="s">
        <v>3331</v>
      </c>
      <c r="F26" s="388">
        <f>SUMIF(79:79,E26,80:80)-SUMIF(79:79,C26,80:80)+100</f>
        <v>100</v>
      </c>
      <c r="G26" s="386" t="s">
        <v>3331</v>
      </c>
      <c r="H26" s="387">
        <f>SUMIF(79:79,G26,80:80)-SUMIF(79:79,C26,80:80)+100</f>
        <v>100</v>
      </c>
      <c r="I26" s="386" t="s">
        <v>3331</v>
      </c>
      <c r="J26" s="387">
        <f>SUMIF(79:79,I26,80:80)-SUMIF(79:79,C26,80:80)+100</f>
        <v>100</v>
      </c>
      <c r="K26" s="538"/>
      <c r="L26" s="2491"/>
      <c r="M26" s="2486"/>
      <c r="N26" s="2486"/>
      <c r="O26" s="2486"/>
      <c r="P26" s="3457" t="s">
        <v>1696</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02" t="s">
        <v>1696</v>
      </c>
      <c r="Z26" s="1264" t="str">
        <f t="shared" ref="Z26:Z36" si="15">Q26</f>
        <v>配套类型</v>
      </c>
      <c r="AA26" s="1264">
        <f t="shared" si="3"/>
        <v>1</v>
      </c>
      <c r="AB26" s="1264">
        <f t="shared" si="4"/>
        <v>1</v>
      </c>
      <c r="AC26" s="1264">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f>'数据-取费表'!Y7</f>
        <v>0.83</v>
      </c>
      <c r="D29" s="374">
        <v>100</v>
      </c>
      <c r="E29" s="411">
        <f>C29</f>
        <v>0.83</v>
      </c>
      <c r="F29" s="400">
        <f>LOOKUP(E29,86:86,87:87)-LOOKUP(C29,86:86,87:87)+100</f>
        <v>100</v>
      </c>
      <c r="G29" s="411">
        <f>C29</f>
        <v>0.83</v>
      </c>
      <c r="H29" s="400">
        <f>LOOKUP(G29,86:86,87:87)-LOOKUP(C29,86:86,87:87)+100</f>
        <v>100</v>
      </c>
      <c r="I29" s="411">
        <f>C29</f>
        <v>0.83</v>
      </c>
      <c r="J29" s="374">
        <f>LOOKUP(I29,86:86,87:87)-LOOKUP(C29,86:86,87:87)+100</f>
        <v>100</v>
      </c>
      <c r="K29" s="538"/>
      <c r="L29" s="2491"/>
      <c r="M29" s="2486"/>
      <c r="N29" s="2486"/>
      <c r="O29" s="2486"/>
      <c r="P29" s="3402"/>
      <c r="Q29" s="1263" t="str">
        <f t="shared" si="11"/>
        <v>成新率</v>
      </c>
      <c r="R29" s="667" t="s">
        <v>14</v>
      </c>
      <c r="S29" s="668">
        <f t="shared" si="12"/>
        <v>100</v>
      </c>
      <c r="T29" s="667" t="s">
        <v>14</v>
      </c>
      <c r="U29" s="668">
        <f t="shared" si="13"/>
        <v>100</v>
      </c>
      <c r="V29" s="667" t="s">
        <v>14</v>
      </c>
      <c r="W29" s="668">
        <f t="shared" si="14"/>
        <v>100</v>
      </c>
      <c r="X29" s="1265"/>
      <c r="Y29" s="3402"/>
      <c r="Z29" s="1264" t="str">
        <f t="shared" si="15"/>
        <v>成新率</v>
      </c>
      <c r="AA29" s="1264">
        <f t="shared" si="3"/>
        <v>1</v>
      </c>
      <c r="AB29" s="1264">
        <f t="shared" si="4"/>
        <v>1</v>
      </c>
      <c r="AC29" s="1264">
        <f t="shared" si="5"/>
        <v>1</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f>'数据-汇总表'!E20</f>
        <v>30.74</v>
      </c>
      <c r="D31" s="119">
        <v>100</v>
      </c>
      <c r="E31" s="407">
        <v>34.46</v>
      </c>
      <c r="F31" s="400">
        <f>LOOKUP(E31,91:91,92:92)-LOOKUP(C31,91:91,92:92)+100</f>
        <v>100</v>
      </c>
      <c r="G31" s="407">
        <v>34.46</v>
      </c>
      <c r="H31" s="374">
        <f>LOOKUP(G31,91:91,92:92)-LOOKUP(C31,91:91,92:92)+100</f>
        <v>100</v>
      </c>
      <c r="I31" s="407">
        <v>36.630000000000003</v>
      </c>
      <c r="J31" s="374">
        <f>LOOKUP(I31,91:91,92:92)-LOOKUP(C31,91:91,92:92)+100</f>
        <v>100</v>
      </c>
      <c r="K31" s="538"/>
      <c r="L31" s="2487"/>
      <c r="M31" s="2439"/>
      <c r="N31" s="2439"/>
      <c r="O31" s="2439"/>
      <c r="P31" s="3402"/>
      <c r="Q31" s="530" t="str">
        <f t="shared" si="11"/>
        <v>停车位面积</v>
      </c>
      <c r="R31" s="664" t="s">
        <v>14</v>
      </c>
      <c r="S31" s="665">
        <f t="shared" si="12"/>
        <v>100</v>
      </c>
      <c r="T31" s="664" t="s">
        <v>14</v>
      </c>
      <c r="U31" s="665">
        <f t="shared" si="13"/>
        <v>100</v>
      </c>
      <c r="V31" s="664" t="s">
        <v>14</v>
      </c>
      <c r="W31" s="665">
        <f t="shared" si="14"/>
        <v>100</v>
      </c>
      <c r="X31" s="666"/>
      <c r="Y31" s="3402"/>
      <c r="Z31" s="50" t="str">
        <f t="shared" si="15"/>
        <v>停车位面积</v>
      </c>
      <c r="AA31" s="50">
        <f t="shared" si="3"/>
        <v>1</v>
      </c>
      <c r="AB31" s="50">
        <f t="shared" si="4"/>
        <v>1</v>
      </c>
      <c r="AC31" s="50">
        <f t="shared" si="5"/>
        <v>1</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5">
      <c r="A37" s="416" t="s">
        <v>1844</v>
      </c>
      <c r="B37" s="1820" t="s">
        <v>3352</v>
      </c>
      <c r="C37" s="1081" t="s">
        <v>0</v>
      </c>
      <c r="D37" s="418"/>
      <c r="E37" s="419">
        <v>6187</v>
      </c>
      <c r="F37" s="420"/>
      <c r="G37" s="421">
        <v>6187</v>
      </c>
      <c r="H37" s="422"/>
      <c r="I37" s="419">
        <v>6010</v>
      </c>
      <c r="J37" s="422"/>
      <c r="K37" s="545"/>
      <c r="L37" s="2493"/>
      <c r="M37" s="2486"/>
      <c r="N37" s="2486"/>
      <c r="O37" s="2486"/>
      <c r="P37" s="3396" t="str">
        <f>A37</f>
        <v>成交单价</v>
      </c>
      <c r="Q37" s="3396"/>
      <c r="R37" s="3391">
        <f>E37</f>
        <v>6187</v>
      </c>
      <c r="S37" s="3391"/>
      <c r="T37" s="3391">
        <f>G37</f>
        <v>6187</v>
      </c>
      <c r="U37" s="3391"/>
      <c r="V37" s="3391">
        <f>I37</f>
        <v>6010</v>
      </c>
      <c r="W37" s="3391"/>
      <c r="X37" s="385"/>
      <c r="Y37" s="673"/>
      <c r="Z37" s="385"/>
      <c r="AA37" s="385"/>
      <c r="AB37" s="385"/>
      <c r="AC37" s="385"/>
    </row>
    <row r="38" spans="1:29" ht="15.75" thickBot="1">
      <c r="A38" s="423" t="s">
        <v>1845</v>
      </c>
      <c r="B38" s="424" t="str">
        <f>B37</f>
        <v>元/平方米</v>
      </c>
      <c r="C38" s="1082">
        <f>R39</f>
        <v>6128</v>
      </c>
      <c r="D38" s="2140" t="s">
        <v>2137</v>
      </c>
      <c r="E38" s="1083">
        <f>R38</f>
        <v>6187</v>
      </c>
      <c r="F38" s="2141"/>
      <c r="G38" s="1082">
        <f>T38</f>
        <v>6187</v>
      </c>
      <c r="H38" s="2141"/>
      <c r="I38" s="1083">
        <f>V38</f>
        <v>6010</v>
      </c>
      <c r="J38" s="2141"/>
      <c r="K38" s="2143">
        <f>F38+H38+J38</f>
        <v>0</v>
      </c>
      <c r="L38" s="2493"/>
      <c r="M38" s="2486"/>
      <c r="N38" s="2486"/>
      <c r="O38" s="2486"/>
      <c r="P38" s="3396" t="str">
        <f>A38</f>
        <v>比较价值（元/平方米）</v>
      </c>
      <c r="Q38" s="3396"/>
      <c r="R38" s="3391">
        <f>IF(F1="售价",ROUND(PRODUCT(R37,AA7:AA36),0),ROUND(PRODUCT(R37,AA7:AA36),1))</f>
        <v>6187</v>
      </c>
      <c r="S38" s="3391"/>
      <c r="T38" s="3391">
        <f>IF(F1="售价",ROUND(PRODUCT(T37,AB7:AB36),0),ROUND(PRODUCT(T37,AB7:AB36),1))</f>
        <v>6187</v>
      </c>
      <c r="U38" s="3391"/>
      <c r="V38" s="3391">
        <f>IF(F1="售价",ROUND(PRODUCT(V37,AC7:AC36),0),ROUND(PRODUCT(V37,AC7:AC36),1))</f>
        <v>6010</v>
      </c>
      <c r="W38" s="3391"/>
      <c r="X38" s="385"/>
      <c r="Y38" s="385"/>
      <c r="Z38" s="385"/>
      <c r="AA38" s="385"/>
      <c r="AB38" s="385"/>
      <c r="AC38" s="385"/>
    </row>
    <row r="39" spans="1:29" ht="15.75" thickBot="1">
      <c r="A39" s="427" t="s">
        <v>1846</v>
      </c>
      <c r="B39" s="428"/>
      <c r="C39" s="351">
        <f>R39</f>
        <v>6128</v>
      </c>
      <c r="D39" s="351"/>
      <c r="E39" s="351"/>
      <c r="F39" s="351"/>
      <c r="G39" s="351"/>
      <c r="H39" s="351"/>
      <c r="I39" s="351"/>
      <c r="J39" s="351"/>
      <c r="K39" s="546"/>
      <c r="L39" s="2493"/>
      <c r="M39" s="2486"/>
      <c r="N39" s="2486"/>
      <c r="O39" s="2486"/>
      <c r="P39" s="3393" t="str">
        <f>A39</f>
        <v>估价对象XX用房的比较价值（楼面单价，元/平方米）</v>
      </c>
      <c r="Q39" s="3394"/>
      <c r="R39" s="3458">
        <f>IF(F1="售价",ROUND(IF(D38="简单平均",AVERAGE(R38:W38),R38*F38+T38*H38+V38*J38),0),ROUND(IF(D38="简单平均",AVERAGE(R38:V38),R38*F38+T38*H38+V38*J38),1))</f>
        <v>6128</v>
      </c>
      <c r="S39" s="3458"/>
      <c r="T39" s="3458"/>
      <c r="U39" s="3458"/>
      <c r="V39" s="3458"/>
      <c r="W39" s="345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f>IF(E38&lt;G38,G38/E38-1,E38/G38-1)</f>
        <v>0</v>
      </c>
      <c r="F43" s="435" t="str">
        <f>IF(OR(E43&gt;=0.2,E43&lt;=-0.2),"超过20%","")</f>
        <v/>
      </c>
      <c r="G43" s="434">
        <f>IF(G38&lt;I38,I38/G38-1,G38/I38-1)</f>
        <v>2.9450915141431055E-2</v>
      </c>
      <c r="H43" s="435" t="str">
        <f>IF(OR(G43&gt;=0.2,G43&lt;=-0.2),"超过20%","")</f>
        <v/>
      </c>
      <c r="I43" s="434">
        <f>IF(I38&lt;E38,E38/I38-1,I38/E38-1)</f>
        <v>2.9450915141431055E-2</v>
      </c>
      <c r="J43" s="435" t="str">
        <f>IF(OR(I43&gt;=0.2,I43&lt;=-0.2),"超过20%","")</f>
        <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f>IF(E37&lt;G37,G37/E37-1,E37/G37-1)</f>
        <v>0</v>
      </c>
      <c r="F44" s="435" t="str">
        <f>IF(OR(E44&gt;=0.3,E44&lt;=-0.3),"超过30%","")</f>
        <v/>
      </c>
      <c r="G44" s="434">
        <f>IF(G37&lt;I37,I37/G37-1,G37/I37-1)</f>
        <v>2.9450915141431055E-2</v>
      </c>
      <c r="H44" s="435" t="str">
        <f>IF(OR(G44&gt;=0.3,G44&lt;=-0.3),"超过30%","")</f>
        <v/>
      </c>
      <c r="I44" s="434">
        <f>IF(I37&lt;E37,E37/I37-1,I37/E37-1)</f>
        <v>2.9450915141431055E-2</v>
      </c>
      <c r="J44" s="435" t="str">
        <f>IF(OR(I44&gt;=0.3,I44&lt;=-0.3),"超过30%","")</f>
        <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v>100</v>
      </c>
      <c r="E49" s="446">
        <v>100</v>
      </c>
      <c r="F49" s="446">
        <v>100</v>
      </c>
      <c r="G49" s="446">
        <v>100</v>
      </c>
      <c r="H49" s="446">
        <v>100</v>
      </c>
      <c r="I49" s="446">
        <v>100</v>
      </c>
      <c r="J49" s="446">
        <v>100</v>
      </c>
      <c r="K49" s="446">
        <v>100</v>
      </c>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0(含)-40</v>
      </c>
      <c r="D90" s="509" t="str">
        <f t="shared" ref="D90:L90" si="21">D91&amp;"(含)"&amp;"-"&amp;E91</f>
        <v>40(含)-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v>0</v>
      </c>
      <c r="D91" s="6">
        <v>40</v>
      </c>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v>100</v>
      </c>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4" sqref="P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3481</v>
      </c>
      <c r="D1" s="1271" t="s">
        <v>43</v>
      </c>
      <c r="E1" s="1272" t="s">
        <v>678</v>
      </c>
      <c r="F1" s="999">
        <f ca="1">J53</f>
        <v>40.159999999999997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3.1798999999999999</v>
      </c>
      <c r="C2" s="1289" t="s">
        <v>879</v>
      </c>
      <c r="D2" s="1375">
        <f ca="1">C40+J29+L46</f>
        <v>31799</v>
      </c>
      <c r="E2" s="1295" t="s">
        <v>880</v>
      </c>
      <c r="F2" s="1296"/>
      <c r="G2" s="2477"/>
      <c r="H2" s="2467"/>
      <c r="I2" s="2467"/>
      <c r="J2" s="2467"/>
      <c r="K2" s="2468"/>
      <c r="L2" s="2467"/>
      <c r="M2" s="2467"/>
    </row>
    <row r="3" spans="1:37" ht="18" customHeight="1" thickBot="1">
      <c r="A3" s="1297" t="s">
        <v>881</v>
      </c>
      <c r="B3" s="1298">
        <f ca="1">IF(ISERROR(D2/F43),0,ROUND(D2/F43,0))</f>
        <v>1034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4860</v>
      </c>
      <c r="D5" s="1273" t="s">
        <v>889</v>
      </c>
      <c r="E5" s="1008"/>
      <c r="F5" s="1009"/>
      <c r="G5" s="1292"/>
      <c r="H5" s="291">
        <v>1</v>
      </c>
      <c r="I5" s="292" t="s">
        <v>888</v>
      </c>
      <c r="J5" s="1007">
        <f ca="1">J6+J10+J12</f>
        <v>0</v>
      </c>
      <c r="K5" s="1273" t="s">
        <v>889</v>
      </c>
      <c r="L5" s="1008"/>
      <c r="M5" s="1009"/>
    </row>
    <row r="6" spans="1:37" ht="18" customHeight="1">
      <c r="A6" s="1006" t="s">
        <v>398</v>
      </c>
      <c r="B6" s="3408" t="s">
        <v>694</v>
      </c>
      <c r="C6" s="1011">
        <f ca="1">ROUND(F6*F8*F7*(1-F9),0)</f>
        <v>4860</v>
      </c>
      <c r="D6" s="147" t="s">
        <v>2105</v>
      </c>
      <c r="E6" s="294" t="s">
        <v>696</v>
      </c>
      <c r="F6" s="295">
        <f ca="1">INDIRECT("'数据-取费表'!u"&amp;$G$1)</f>
        <v>450</v>
      </c>
      <c r="G6" s="1292"/>
      <c r="H6" s="1006" t="s">
        <v>398</v>
      </c>
      <c r="I6" s="3408" t="s">
        <v>694</v>
      </c>
      <c r="J6" s="293">
        <f ca="1">ROUND(M6*M8*M7*(1-M9),0)</f>
        <v>0</v>
      </c>
      <c r="K6" s="1284" t="s">
        <v>2106</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1</v>
      </c>
      <c r="G7" s="1292"/>
      <c r="H7" s="296"/>
      <c r="I7" s="3409"/>
      <c r="J7" s="298"/>
      <c r="K7" s="299"/>
      <c r="L7" s="294" t="s">
        <v>697</v>
      </c>
      <c r="M7" s="295">
        <f ca="1">F7</f>
        <v>1</v>
      </c>
    </row>
    <row r="8" spans="1:37" ht="18" customHeight="1">
      <c r="A8" s="296"/>
      <c r="B8" s="3409"/>
      <c r="C8" s="298"/>
      <c r="D8" s="299"/>
      <c r="E8" s="294" t="s">
        <v>698</v>
      </c>
      <c r="F8" s="295">
        <f ca="1">INDIRECT("'数据-取费表'!ai"&amp;$G$1)</f>
        <v>12</v>
      </c>
      <c r="G8" s="1292"/>
      <c r="H8" s="296"/>
      <c r="I8" s="3409"/>
      <c r="J8" s="298"/>
      <c r="K8" s="299"/>
      <c r="L8" s="294" t="s">
        <v>698</v>
      </c>
      <c r="M8" s="295">
        <f ca="1">INDIRECT("'数据-取费表'!ai"&amp;$G$1)</f>
        <v>12</v>
      </c>
    </row>
    <row r="9" spans="1:37" ht="18" customHeight="1">
      <c r="A9" s="296"/>
      <c r="B9" s="3410"/>
      <c r="C9" s="298"/>
      <c r="D9" s="299"/>
      <c r="E9" s="294" t="s">
        <v>699</v>
      </c>
      <c r="F9" s="304">
        <f ca="1">INDIRECT("'数据-取费表'!w"&amp;$G$1)</f>
        <v>0.1</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3508</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203504</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184440</v>
      </c>
      <c r="D14" s="1257" t="s">
        <v>708</v>
      </c>
      <c r="E14" s="1255"/>
      <c r="F14" s="311"/>
      <c r="G14" s="1292"/>
      <c r="H14" s="928" t="s">
        <v>398</v>
      </c>
      <c r="I14" s="294" t="s">
        <v>709</v>
      </c>
      <c r="J14" s="21">
        <f ca="1">C29</f>
        <v>245186</v>
      </c>
      <c r="K14" s="12"/>
      <c r="L14" s="759"/>
      <c r="M14" s="760"/>
    </row>
    <row r="15" spans="1:37" s="1304" customFormat="1" ht="18" customHeight="1" thickBot="1">
      <c r="A15" s="928" t="s">
        <v>399</v>
      </c>
      <c r="B15" s="294" t="s">
        <v>710</v>
      </c>
      <c r="C15" s="21">
        <f ca="1">ROUND(C14*F15,0)</f>
        <v>9222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2452</v>
      </c>
      <c r="K16" s="1024" t="s">
        <v>715</v>
      </c>
      <c r="L16" s="1025"/>
      <c r="M16" s="1009"/>
    </row>
    <row r="17" spans="1:37" s="1304" customFormat="1" ht="18" customHeight="1">
      <c r="A17" s="928" t="s">
        <v>681</v>
      </c>
      <c r="B17" s="294" t="s">
        <v>716</v>
      </c>
      <c r="C17" s="21">
        <f ca="1">ROUND(F17*(F43+INDIRECT("'数据-取费表'!S"&amp;$G$1)),0)</f>
        <v>6148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3689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203499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4070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6227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-2452</v>
      </c>
      <c r="K25" s="1032" t="s">
        <v>753</v>
      </c>
      <c r="L25" s="1033"/>
      <c r="M25" s="1034"/>
    </row>
    <row r="26" spans="1:37" ht="18" customHeight="1">
      <c r="A26" s="928" t="s">
        <v>397</v>
      </c>
      <c r="B26" s="294" t="s">
        <v>754</v>
      </c>
      <c r="C26" s="21">
        <f ca="1">ROUND((C19+C20)*F26,0)</f>
        <v>10378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245186</v>
      </c>
      <c r="D29" s="1029"/>
      <c r="E29" s="1027"/>
      <c r="F29" s="1030"/>
      <c r="G29" s="1303"/>
      <c r="H29" s="325" t="s">
        <v>396</v>
      </c>
      <c r="I29" s="326" t="s">
        <v>768</v>
      </c>
      <c r="J29" s="327">
        <f ca="1">ROUND(J26/(1+F40)^F41,0)</f>
        <v>0</v>
      </c>
      <c r="K29" s="328" t="s">
        <v>769</v>
      </c>
      <c r="L29" s="329"/>
      <c r="M29" s="330">
        <f ca="1">INDIRECT("'数据-取费表'!k"&amp;$G$1)</f>
        <v>30.74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3519</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814</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259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555</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2452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204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1341</v>
      </c>
      <c r="D39" s="1032" t="s">
        <v>773</v>
      </c>
      <c r="E39" s="1033"/>
      <c r="F39" s="1034"/>
      <c r="G39" s="1292"/>
      <c r="H39" s="2472"/>
      <c r="I39" s="1305"/>
      <c r="J39" s="1306"/>
      <c r="K39" s="2470"/>
      <c r="L39" s="2472"/>
      <c r="M39" s="2472"/>
    </row>
    <row r="40" spans="1:18" ht="18" customHeight="1">
      <c r="A40" s="291" t="s">
        <v>395</v>
      </c>
      <c r="B40" s="292" t="s">
        <v>774</v>
      </c>
      <c r="C40" s="293">
        <f ca="1">ROUND(C39*(1-((1+F42)/(1+F40))^F41)/(F40-F42),0)</f>
        <v>26426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40.159999999999997</v>
      </c>
      <c r="G41" s="1292"/>
      <c r="H41" s="121">
        <f ca="1">C39/C5</f>
        <v>0.27592592592592591</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860</v>
      </c>
      <c r="D43" s="328" t="s">
        <v>777</v>
      </c>
      <c r="E43" s="329" t="s">
        <v>778</v>
      </c>
      <c r="F43" s="330">
        <f ca="1">INDIRECT("'数据-取费表'!k"&amp;$G$1)</f>
        <v>30.74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-6.9093</v>
      </c>
      <c r="D45" s="3129" t="s">
        <v>3351</v>
      </c>
      <c r="E45" s="1307"/>
      <c r="F45" s="1307"/>
      <c r="O45" s="1310" t="s">
        <v>808</v>
      </c>
      <c r="P45" s="1366"/>
      <c r="Q45" s="1366"/>
      <c r="R45" s="1366"/>
    </row>
    <row r="46" spans="1:18" s="1292" customFormat="1" ht="13.5" thickBot="1">
      <c r="A46" s="1311" t="s">
        <v>809</v>
      </c>
      <c r="C46" s="1312">
        <f ca="1">ROUND(C45,0)</f>
        <v>-7</v>
      </c>
      <c r="D46" s="1313" t="str">
        <f>C2</f>
        <v>万元</v>
      </c>
      <c r="I46" s="1314" t="s">
        <v>810</v>
      </c>
      <c r="J46" s="1315"/>
      <c r="K46" s="1316"/>
      <c r="L46" s="1317">
        <f ca="1">IF(M47="住宅",0,IF(L48&gt;J51,L60,J60))</f>
        <v>5373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3490</v>
      </c>
      <c r="K47" s="1323" t="s">
        <v>816</v>
      </c>
      <c r="L47" s="1324">
        <f ca="1">INDIRECT("'数据-取费表'!d"&amp;$G$1)</f>
        <v>50</v>
      </c>
      <c r="M47" s="1288" t="str">
        <f>IF(ISNUMBER(FIND("住宅",C1)),"住宅","非住宅")</f>
        <v>非住宅</v>
      </c>
      <c r="O47" s="1325" t="s">
        <v>403</v>
      </c>
      <c r="P47" s="1326" t="s">
        <v>817</v>
      </c>
      <c r="Q47" s="1327">
        <f ca="1">C40+J29</f>
        <v>26426</v>
      </c>
      <c r="R47" s="1327" t="s">
        <v>818</v>
      </c>
    </row>
    <row r="48" spans="1:18" s="1292" customFormat="1" ht="28.5" thickBot="1">
      <c r="A48" s="1047" t="s">
        <v>438</v>
      </c>
      <c r="B48" s="292" t="s">
        <v>692</v>
      </c>
      <c r="C48" s="1268">
        <f ca="1">C49+C53+C55</f>
        <v>0</v>
      </c>
      <c r="D48" s="1049"/>
      <c r="E48" s="1050"/>
      <c r="F48" s="908"/>
      <c r="G48" s="681"/>
      <c r="H48" s="682"/>
      <c r="I48" s="1328" t="s">
        <v>819</v>
      </c>
      <c r="J48" s="1329" t="s">
        <v>3491</v>
      </c>
      <c r="K48" s="1330" t="s">
        <v>820</v>
      </c>
      <c r="L48" s="1331">
        <f ca="1">INDIRECT("'数据-取费表'!f"&amp;$G$1)</f>
        <v>40.159999999999997</v>
      </c>
      <c r="O48" s="1325" t="s">
        <v>404</v>
      </c>
      <c r="P48" s="1326" t="s">
        <v>821</v>
      </c>
      <c r="Q48" s="1327">
        <f ca="1">J60</f>
        <v>5373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2015</v>
      </c>
      <c r="K49" s="1330" t="s">
        <v>824</v>
      </c>
      <c r="L49" s="1333"/>
      <c r="O49" s="1334" t="s">
        <v>405</v>
      </c>
      <c r="P49" s="1326" t="s">
        <v>825</v>
      </c>
      <c r="Q49" s="1327">
        <f ca="1">C29</f>
        <v>245186</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-235580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40.159999999999997</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5">
        <f ca="1">IF(M47="住宅",IF(D1="——",MAX(J51,L48),MAX(J51,L48-'数据-取费表'!B24)),IF(D1="——",MIN(J51,L48),MIN(J51,L48-'数据-取费表'!B24)))</f>
        <v>40.159999999999997</v>
      </c>
      <c r="K53" s="3406" t="s">
        <v>837</v>
      </c>
      <c r="L53" s="3407"/>
      <c r="O53" s="1325" t="s">
        <v>409</v>
      </c>
      <c r="P53" s="1326" t="s">
        <v>838</v>
      </c>
      <c r="Q53" s="1327">
        <f ca="1">Q47+Q48</f>
        <v>31799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203504</v>
      </c>
      <c r="D56" s="1352"/>
      <c r="E56" s="1353"/>
      <c r="F56" s="1345"/>
      <c r="I56" s="1354" t="s">
        <v>842</v>
      </c>
      <c r="J56" s="1355" t="s">
        <v>3492</v>
      </c>
      <c r="K56" s="1328" t="s">
        <v>843</v>
      </c>
      <c r="L56" s="1331" t="str">
        <f ca="1">IF(L48&lt;J51,"——",L48-J51)</f>
        <v>——</v>
      </c>
      <c r="O56" s="1325" t="s">
        <v>403</v>
      </c>
      <c r="P56" s="1326" t="s">
        <v>817</v>
      </c>
      <c r="Q56" s="1327">
        <f ca="1">C40+J29</f>
        <v>26426</v>
      </c>
      <c r="R56" s="1327" t="s">
        <v>818</v>
      </c>
    </row>
    <row r="57" spans="1:18" s="1292" customFormat="1" ht="24.75" thickBot="1">
      <c r="A57" s="1356"/>
      <c r="B57" s="896" t="s">
        <v>767</v>
      </c>
      <c r="C57" s="230">
        <f ca="1">C29</f>
        <v>245186</v>
      </c>
      <c r="D57" s="1357"/>
      <c r="E57" s="1358"/>
      <c r="F57" s="1359"/>
      <c r="I57" s="1360" t="s">
        <v>844</v>
      </c>
      <c r="J57" s="1361">
        <f ca="1">IF(OR(M47="住宅",J51&lt;L48,J56="是"),"——",J51-L48)</f>
        <v>9.8400000000000034</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98074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5373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26426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2452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204</v>
      </c>
      <c r="D65" s="910" t="s">
        <v>743</v>
      </c>
      <c r="E65" s="896" t="s">
        <v>744</v>
      </c>
      <c r="F65" s="321">
        <f t="shared" ca="1" si="0"/>
        <v>1E-3</v>
      </c>
      <c r="I65" s="1367" t="s">
        <v>867</v>
      </c>
      <c r="J65" s="610">
        <v>40</v>
      </c>
      <c r="K65" s="610">
        <v>30</v>
      </c>
      <c r="L65" s="610">
        <v>50</v>
      </c>
      <c r="M65" s="1369">
        <v>0.02</v>
      </c>
      <c r="O65" s="1325" t="s">
        <v>403</v>
      </c>
      <c r="P65" s="1326" t="s">
        <v>868</v>
      </c>
      <c r="Q65" s="1327">
        <f ca="1">C40+J29</f>
        <v>26426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-2656</v>
      </c>
      <c r="D67" s="909" t="s">
        <v>753</v>
      </c>
      <c r="E67" s="914"/>
      <c r="F67" s="915"/>
      <c r="O67" s="1334" t="s">
        <v>405</v>
      </c>
      <c r="P67" s="1326" t="s">
        <v>850</v>
      </c>
      <c r="Q67" s="1370">
        <f ca="1">L51</f>
        <v>-235580</v>
      </c>
      <c r="R67" s="1327" t="s">
        <v>870</v>
      </c>
    </row>
    <row r="68" spans="1:18" s="1292" customFormat="1" ht="16.5" thickBot="1">
      <c r="A68" s="893" t="s">
        <v>395</v>
      </c>
      <c r="B68" s="894" t="s">
        <v>774</v>
      </c>
      <c r="C68" s="293">
        <f ca="1">ROUND(C67*(1-((1+F70)/(1+F68))^F69)/(F68-F70),0)</f>
        <v>-42667</v>
      </c>
      <c r="D68" s="911" t="s">
        <v>758</v>
      </c>
      <c r="E68" s="896" t="s">
        <v>759</v>
      </c>
      <c r="F68" s="304">
        <f ca="1">F40</f>
        <v>5.5E-2</v>
      </c>
      <c r="O68" s="1334" t="s">
        <v>406</v>
      </c>
      <c r="P68" s="1371" t="s">
        <v>871</v>
      </c>
      <c r="Q68" s="1327">
        <f ca="1">ROUND(Q69-Q70*Q71,0)</f>
        <v>-12904</v>
      </c>
      <c r="R68" s="1327" t="s">
        <v>414</v>
      </c>
    </row>
    <row r="69" spans="1:18" s="1292" customFormat="1" ht="13.5" thickBot="1">
      <c r="A69" s="897"/>
      <c r="B69" s="898"/>
      <c r="C69" s="298"/>
      <c r="D69" s="916" t="s">
        <v>762</v>
      </c>
      <c r="E69" s="896" t="s">
        <v>763</v>
      </c>
      <c r="F69" s="324">
        <f ca="1">F41</f>
        <v>40.159999999999997</v>
      </c>
      <c r="O69" s="1334" t="s">
        <v>411</v>
      </c>
      <c r="P69" s="1371" t="s">
        <v>872</v>
      </c>
      <c r="Q69" s="1327">
        <f ca="1">C39</f>
        <v>1341</v>
      </c>
      <c r="R69" s="1327" t="s">
        <v>818</v>
      </c>
    </row>
    <row r="70" spans="1:18" s="1292" customFormat="1" ht="13.5" thickBot="1">
      <c r="A70" s="900"/>
      <c r="B70" s="901"/>
      <c r="C70" s="302"/>
      <c r="D70" s="912"/>
      <c r="E70" s="896" t="s">
        <v>766</v>
      </c>
      <c r="F70" s="991"/>
      <c r="O70" s="1334" t="s">
        <v>412</v>
      </c>
      <c r="P70" s="1371" t="s">
        <v>873</v>
      </c>
      <c r="Q70" s="1327">
        <f ca="1">C13</f>
        <v>203504</v>
      </c>
      <c r="R70" s="1327" t="s">
        <v>818</v>
      </c>
    </row>
    <row r="71" spans="1:18" s="1292" customFormat="1" ht="13.5" thickBot="1">
      <c r="A71" s="917" t="s">
        <v>396</v>
      </c>
      <c r="B71" s="918" t="s">
        <v>776</v>
      </c>
      <c r="C71" s="327">
        <f ca="1">ROUND(C68/F71,0)</f>
        <v>-1388</v>
      </c>
      <c r="D71" s="919" t="s">
        <v>777</v>
      </c>
      <c r="E71" s="920" t="s">
        <v>778</v>
      </c>
      <c r="F71" s="330">
        <f ca="1">F43</f>
        <v>30.74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14245</v>
      </c>
      <c r="D75" s="1292"/>
      <c r="E75" s="1292"/>
      <c r="F75" s="1292"/>
      <c r="K75" s="1309"/>
      <c r="L75" s="1292"/>
      <c r="O75" s="1325" t="s">
        <v>409</v>
      </c>
      <c r="P75" s="1326" t="s">
        <v>838</v>
      </c>
      <c r="Q75" s="1327">
        <f ca="1">Q65+Q66</f>
        <v>26426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-9.6229999999999993</v>
      </c>
    </row>
    <row r="80" spans="1:18">
      <c r="B80" s="331" t="s">
        <v>800</v>
      </c>
      <c r="C80" s="266">
        <f ca="1">ROUND(C75/C39,3)</f>
        <v>10.622999999999999</v>
      </c>
    </row>
    <row r="81" spans="2:3">
      <c r="B81" s="262" t="s">
        <v>801</v>
      </c>
      <c r="C81" s="230"/>
    </row>
    <row r="82" spans="2:3">
      <c r="B82" s="265" t="s">
        <v>802</v>
      </c>
      <c r="C82" s="267">
        <f ca="1">1-C83</f>
        <v>-6.7009999999999996</v>
      </c>
    </row>
    <row r="83" spans="2:3">
      <c r="B83" s="265" t="s">
        <v>803</v>
      </c>
      <c r="C83" s="266">
        <f ca="1">ROUND(C13/C40,3)</f>
        <v>7.7009999999999996</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63" priority="3">
      <formula>$F$10="自定义"</formula>
    </cfRule>
  </conditionalFormatting>
  <conditionalFormatting sqref="C54">
    <cfRule type="expression" dxfId="62" priority="1">
      <formula>$F$53="自定义"</formula>
    </cfRule>
  </conditionalFormatting>
  <conditionalFormatting sqref="I55 I60">
    <cfRule type="expression" dxfId="61" priority="5">
      <formula>$J$51&gt;$L$48</formula>
    </cfRule>
  </conditionalFormatting>
  <conditionalFormatting sqref="J11">
    <cfRule type="expression" dxfId="60" priority="2">
      <formula>$M$10="自定义"</formula>
    </cfRule>
  </conditionalFormatting>
  <conditionalFormatting sqref="K55 K60">
    <cfRule type="expression" dxfId="5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60"/>
  <sheetViews>
    <sheetView workbookViewId="0">
      <selection activeCell="G24" sqref="G24"/>
    </sheetView>
  </sheetViews>
  <sheetFormatPr defaultRowHeight="13.5"/>
  <cols>
    <col min="1" max="1" width="11.5" customWidth="1"/>
    <col min="4" max="4" width="9.5" bestFit="1" customWidth="1"/>
    <col min="5" max="5" width="11.5" customWidth="1"/>
  </cols>
  <sheetData>
    <row r="1" spans="1:6">
      <c r="A1" s="1405" t="s">
        <v>3601</v>
      </c>
    </row>
    <row r="2" spans="1:6">
      <c r="A2" s="1405" t="s">
        <v>3410</v>
      </c>
    </row>
    <row r="4" spans="1:6">
      <c r="B4" s="1405" t="s">
        <v>3413</v>
      </c>
      <c r="C4" s="1405" t="s">
        <v>3414</v>
      </c>
    </row>
    <row r="5" spans="1:6">
      <c r="A5" s="1405" t="s">
        <v>3411</v>
      </c>
      <c r="B5">
        <v>14137</v>
      </c>
      <c r="C5" s="1405">
        <v>5782</v>
      </c>
      <c r="D5" s="1405" t="s">
        <v>3412</v>
      </c>
    </row>
    <row r="6" spans="1:6">
      <c r="A6" s="1405" t="s">
        <v>3415</v>
      </c>
      <c r="B6">
        <v>2950</v>
      </c>
      <c r="C6">
        <v>24865</v>
      </c>
      <c r="D6" s="1405" t="s">
        <v>3412</v>
      </c>
    </row>
    <row r="7" spans="1:6">
      <c r="E7" s="1405" t="s">
        <v>3584</v>
      </c>
      <c r="F7">
        <f>B56</f>
        <v>8890.739999999998</v>
      </c>
    </row>
    <row r="8" spans="1:6">
      <c r="A8" s="1405" t="s">
        <v>3464</v>
      </c>
      <c r="B8" s="1405" t="s">
        <v>3463</v>
      </c>
    </row>
    <row r="9" spans="1:6">
      <c r="A9" s="3162" t="s">
        <v>3416</v>
      </c>
      <c r="B9">
        <v>200.08</v>
      </c>
      <c r="C9" s="1405"/>
      <c r="E9" s="1405" t="s">
        <v>3465</v>
      </c>
      <c r="F9">
        <v>37717.379999999997</v>
      </c>
    </row>
    <row r="10" spans="1:6">
      <c r="A10" s="3162" t="s">
        <v>3417</v>
      </c>
      <c r="B10">
        <v>190.42</v>
      </c>
      <c r="C10" s="1405"/>
      <c r="E10" s="1405" t="s">
        <v>3466</v>
      </c>
      <c r="F10">
        <f>F9/1147</f>
        <v>32.883504795117695</v>
      </c>
    </row>
    <row r="11" spans="1:6">
      <c r="A11" s="3162" t="s">
        <v>3418</v>
      </c>
      <c r="B11">
        <v>193.24</v>
      </c>
      <c r="C11" s="1405"/>
      <c r="E11" s="1405" t="s">
        <v>3467</v>
      </c>
    </row>
    <row r="12" spans="1:6">
      <c r="A12" s="3162" t="s">
        <v>3419</v>
      </c>
      <c r="B12">
        <v>185.94</v>
      </c>
      <c r="C12" s="1405"/>
    </row>
    <row r="13" spans="1:6">
      <c r="A13" s="3162" t="s">
        <v>3420</v>
      </c>
      <c r="B13">
        <v>190.42</v>
      </c>
      <c r="D13" s="1405" t="s">
        <v>3478</v>
      </c>
      <c r="E13" s="1405" t="s">
        <v>3480</v>
      </c>
    </row>
    <row r="14" spans="1:6">
      <c r="A14" s="3162" t="s">
        <v>3421</v>
      </c>
      <c r="B14">
        <v>190.42</v>
      </c>
      <c r="D14" s="3163" t="s">
        <v>3479</v>
      </c>
      <c r="E14">
        <v>30.74</v>
      </c>
    </row>
    <row r="15" spans="1:6">
      <c r="A15" s="3162" t="s">
        <v>3422</v>
      </c>
      <c r="B15">
        <v>185.94</v>
      </c>
    </row>
    <row r="16" spans="1:6">
      <c r="A16" s="3162" t="s">
        <v>3424</v>
      </c>
      <c r="B16">
        <v>185.94</v>
      </c>
    </row>
    <row r="17" spans="1:2">
      <c r="A17" s="3162" t="s">
        <v>3425</v>
      </c>
      <c r="B17">
        <v>190.42</v>
      </c>
    </row>
    <row r="18" spans="1:2">
      <c r="A18" s="3162" t="s">
        <v>3423</v>
      </c>
      <c r="B18">
        <v>185.94</v>
      </c>
    </row>
    <row r="19" spans="1:2">
      <c r="A19" s="3162" t="s">
        <v>3426</v>
      </c>
      <c r="B19">
        <v>190.42</v>
      </c>
    </row>
    <row r="20" spans="1:2">
      <c r="A20" s="3162" t="s">
        <v>3427</v>
      </c>
      <c r="B20">
        <v>185.94</v>
      </c>
    </row>
    <row r="21" spans="1:2">
      <c r="A21" s="3162" t="s">
        <v>3428</v>
      </c>
      <c r="B21">
        <v>185.94</v>
      </c>
    </row>
    <row r="22" spans="1:2">
      <c r="A22" s="3162" t="s">
        <v>3429</v>
      </c>
      <c r="B22">
        <v>185.94</v>
      </c>
    </row>
    <row r="23" spans="1:2">
      <c r="A23" s="3162" t="s">
        <v>3430</v>
      </c>
      <c r="B23">
        <v>190.42</v>
      </c>
    </row>
    <row r="24" spans="1:2">
      <c r="A24" s="3162" t="s">
        <v>3431</v>
      </c>
      <c r="B24">
        <v>185.94</v>
      </c>
    </row>
    <row r="25" spans="1:2">
      <c r="A25" s="3162" t="s">
        <v>3432</v>
      </c>
      <c r="B25">
        <v>185.94</v>
      </c>
    </row>
    <row r="26" spans="1:2">
      <c r="A26" s="3162" t="s">
        <v>3433</v>
      </c>
      <c r="B26">
        <v>190.42</v>
      </c>
    </row>
    <row r="27" spans="1:2">
      <c r="A27" s="3162" t="s">
        <v>3439</v>
      </c>
      <c r="B27">
        <v>190.42</v>
      </c>
    </row>
    <row r="28" spans="1:2">
      <c r="A28" s="3162" t="s">
        <v>3440</v>
      </c>
      <c r="B28">
        <v>190.42</v>
      </c>
    </row>
    <row r="29" spans="1:2">
      <c r="A29" s="3162" t="s">
        <v>3434</v>
      </c>
      <c r="B29">
        <v>185.94</v>
      </c>
    </row>
    <row r="30" spans="1:2">
      <c r="A30" s="3162" t="s">
        <v>3435</v>
      </c>
      <c r="B30">
        <v>185.94</v>
      </c>
    </row>
    <row r="31" spans="1:2">
      <c r="A31" s="3162" t="s">
        <v>3436</v>
      </c>
      <c r="B31">
        <v>190.42</v>
      </c>
    </row>
    <row r="32" spans="1:2">
      <c r="A32" s="3162" t="s">
        <v>3437</v>
      </c>
      <c r="B32">
        <v>185.94</v>
      </c>
    </row>
    <row r="33" spans="1:2">
      <c r="A33" s="3162" t="s">
        <v>3438</v>
      </c>
      <c r="B33">
        <v>185.94</v>
      </c>
    </row>
    <row r="34" spans="1:2">
      <c r="A34" s="3162" t="s">
        <v>3441</v>
      </c>
      <c r="B34">
        <v>185.94</v>
      </c>
    </row>
    <row r="35" spans="1:2">
      <c r="A35" s="3162" t="s">
        <v>3442</v>
      </c>
      <c r="B35">
        <v>190.42</v>
      </c>
    </row>
    <row r="36" spans="1:2">
      <c r="A36" s="3162" t="s">
        <v>3443</v>
      </c>
      <c r="B36">
        <v>193.24</v>
      </c>
    </row>
    <row r="37" spans="1:2">
      <c r="A37" s="3162" t="s">
        <v>3444</v>
      </c>
      <c r="B37">
        <v>185.94</v>
      </c>
    </row>
    <row r="38" spans="1:2">
      <c r="A38" s="3162" t="s">
        <v>3445</v>
      </c>
      <c r="B38">
        <v>190.42</v>
      </c>
    </row>
    <row r="39" spans="1:2">
      <c r="A39" s="3162" t="s">
        <v>3446</v>
      </c>
      <c r="B39">
        <v>190.42</v>
      </c>
    </row>
    <row r="40" spans="1:2">
      <c r="A40" s="3162" t="s">
        <v>3447</v>
      </c>
      <c r="B40">
        <v>185.94</v>
      </c>
    </row>
    <row r="41" spans="1:2">
      <c r="A41" s="3162" t="s">
        <v>3448</v>
      </c>
      <c r="B41">
        <v>185.94</v>
      </c>
    </row>
    <row r="42" spans="1:2">
      <c r="A42" s="3162" t="s">
        <v>3449</v>
      </c>
      <c r="B42">
        <v>185.94</v>
      </c>
    </row>
    <row r="43" spans="1:2">
      <c r="A43" s="3162" t="s">
        <v>3450</v>
      </c>
      <c r="B43">
        <v>193.24</v>
      </c>
    </row>
    <row r="44" spans="1:2">
      <c r="A44" s="3162" t="s">
        <v>3451</v>
      </c>
      <c r="B44">
        <v>200.08</v>
      </c>
    </row>
    <row r="45" spans="1:2">
      <c r="A45" s="3162" t="s">
        <v>3452</v>
      </c>
      <c r="B45">
        <v>190.42</v>
      </c>
    </row>
    <row r="46" spans="1:2">
      <c r="A46" s="3162" t="s">
        <v>3453</v>
      </c>
      <c r="B46">
        <v>190.42</v>
      </c>
    </row>
    <row r="47" spans="1:2">
      <c r="A47" s="3162" t="s">
        <v>3454</v>
      </c>
      <c r="B47">
        <v>190.42</v>
      </c>
    </row>
    <row r="48" spans="1:2">
      <c r="A48" s="3162" t="s">
        <v>3455</v>
      </c>
      <c r="B48">
        <v>190.42</v>
      </c>
    </row>
    <row r="49" spans="1:2">
      <c r="A49" s="3162" t="s">
        <v>3456</v>
      </c>
      <c r="B49">
        <v>190.42</v>
      </c>
    </row>
    <row r="50" spans="1:2">
      <c r="A50" s="3162" t="s">
        <v>3457</v>
      </c>
      <c r="B50">
        <v>193.24</v>
      </c>
    </row>
    <row r="51" spans="1:2">
      <c r="A51" s="3162" t="s">
        <v>3458</v>
      </c>
      <c r="B51">
        <v>185.94</v>
      </c>
    </row>
    <row r="52" spans="1:2">
      <c r="A52" s="3162" t="s">
        <v>3459</v>
      </c>
      <c r="B52">
        <v>190.42</v>
      </c>
    </row>
    <row r="53" spans="1:2">
      <c r="A53" s="3162" t="s">
        <v>3460</v>
      </c>
      <c r="B53">
        <v>190.42</v>
      </c>
    </row>
    <row r="54" spans="1:2">
      <c r="A54" s="3162" t="s">
        <v>3461</v>
      </c>
      <c r="B54">
        <v>185.94</v>
      </c>
    </row>
    <row r="55" spans="1:2">
      <c r="A55" s="3162" t="s">
        <v>3462</v>
      </c>
      <c r="B55">
        <v>190.42</v>
      </c>
    </row>
    <row r="56" spans="1:2">
      <c r="A56" s="3162" t="s">
        <v>3585</v>
      </c>
      <c r="B56">
        <f>SUM(B9:B55)</f>
        <v>8890.739999999998</v>
      </c>
    </row>
    <row r="57" spans="1:2">
      <c r="A57" s="3161"/>
    </row>
    <row r="58" spans="1:2">
      <c r="A58" s="3161"/>
    </row>
    <row r="59" spans="1:2">
      <c r="A59" s="3161"/>
    </row>
    <row r="60" spans="1:2">
      <c r="A60" s="3161"/>
    </row>
    <row r="61" spans="1:2">
      <c r="A61" s="3161"/>
    </row>
    <row r="62" spans="1:2">
      <c r="A62" s="3161"/>
    </row>
    <row r="63" spans="1:2">
      <c r="A63" s="3161"/>
    </row>
    <row r="64" spans="1:2">
      <c r="A64" s="3161"/>
    </row>
    <row r="65" spans="1:1">
      <c r="A65" s="3161"/>
    </row>
    <row r="66" spans="1:1">
      <c r="A66" s="3161"/>
    </row>
    <row r="67" spans="1:1">
      <c r="A67" s="3161"/>
    </row>
    <row r="68" spans="1:1">
      <c r="A68" s="3161"/>
    </row>
    <row r="69" spans="1:1">
      <c r="A69" s="3161"/>
    </row>
    <row r="70" spans="1:1">
      <c r="A70" s="3161"/>
    </row>
    <row r="71" spans="1:1">
      <c r="A71" s="3161"/>
    </row>
    <row r="72" spans="1:1">
      <c r="A72" s="3161"/>
    </row>
    <row r="73" spans="1:1">
      <c r="A73" s="3161"/>
    </row>
    <row r="74" spans="1:1">
      <c r="A74" s="3161"/>
    </row>
    <row r="75" spans="1:1">
      <c r="A75" s="3161"/>
    </row>
    <row r="76" spans="1:1">
      <c r="A76" s="3161"/>
    </row>
    <row r="77" spans="1:1">
      <c r="A77" s="3161"/>
    </row>
    <row r="78" spans="1:1">
      <c r="A78" s="3161"/>
    </row>
    <row r="79" spans="1:1">
      <c r="A79" s="3161"/>
    </row>
    <row r="80" spans="1:1">
      <c r="A80" s="3161"/>
    </row>
    <row r="81" spans="1:1">
      <c r="A81" s="3161"/>
    </row>
    <row r="82" spans="1:1">
      <c r="A82" s="3161"/>
    </row>
    <row r="83" spans="1:1">
      <c r="A83" s="3161"/>
    </row>
    <row r="84" spans="1:1">
      <c r="A84" s="3161"/>
    </row>
    <row r="85" spans="1:1">
      <c r="A85" s="3161"/>
    </row>
    <row r="86" spans="1:1">
      <c r="A86" s="3161"/>
    </row>
    <row r="87" spans="1:1">
      <c r="A87" s="3161"/>
    </row>
    <row r="88" spans="1:1">
      <c r="A88" s="3161"/>
    </row>
    <row r="89" spans="1:1">
      <c r="A89" s="3161"/>
    </row>
    <row r="90" spans="1:1">
      <c r="A90" s="3161"/>
    </row>
    <row r="91" spans="1:1">
      <c r="A91" s="3161"/>
    </row>
    <row r="92" spans="1:1">
      <c r="A92" s="3161"/>
    </row>
    <row r="93" spans="1:1">
      <c r="A93" s="3161"/>
    </row>
    <row r="94" spans="1:1">
      <c r="A94" s="3161"/>
    </row>
    <row r="95" spans="1:1">
      <c r="A95" s="3161"/>
    </row>
    <row r="96" spans="1:1">
      <c r="A96" s="3161"/>
    </row>
    <row r="97" spans="1:1">
      <c r="A97" s="3161"/>
    </row>
    <row r="98" spans="1:1">
      <c r="A98" s="3161"/>
    </row>
    <row r="99" spans="1:1">
      <c r="A99" s="3161"/>
    </row>
    <row r="100" spans="1:1">
      <c r="A100" s="3161"/>
    </row>
    <row r="101" spans="1:1">
      <c r="A101" s="3161"/>
    </row>
    <row r="102" spans="1:1">
      <c r="A102" s="3161"/>
    </row>
    <row r="103" spans="1:1">
      <c r="A103" s="3161"/>
    </row>
    <row r="104" spans="1:1">
      <c r="A104" s="3161"/>
    </row>
    <row r="105" spans="1:1">
      <c r="A105" s="3161"/>
    </row>
    <row r="106" spans="1:1">
      <c r="A106" s="3161"/>
    </row>
    <row r="107" spans="1:1">
      <c r="A107" s="3161"/>
    </row>
    <row r="108" spans="1:1">
      <c r="A108" s="3161"/>
    </row>
    <row r="109" spans="1:1">
      <c r="A109" s="3161"/>
    </row>
    <row r="110" spans="1:1">
      <c r="A110" s="3161"/>
    </row>
    <row r="111" spans="1:1">
      <c r="A111" s="3161"/>
    </row>
    <row r="112" spans="1:1">
      <c r="A112" s="3161"/>
    </row>
    <row r="113" spans="1:1">
      <c r="A113" s="3161"/>
    </row>
    <row r="114" spans="1:1">
      <c r="A114" s="3161"/>
    </row>
    <row r="115" spans="1:1">
      <c r="A115" s="3161"/>
    </row>
    <row r="116" spans="1:1">
      <c r="A116" s="3161"/>
    </row>
    <row r="117" spans="1:1">
      <c r="A117" s="3161"/>
    </row>
    <row r="118" spans="1:1">
      <c r="A118" s="3161"/>
    </row>
    <row r="119" spans="1:1">
      <c r="A119" s="3161"/>
    </row>
    <row r="120" spans="1:1">
      <c r="A120" s="3161"/>
    </row>
    <row r="121" spans="1:1">
      <c r="A121" s="3161"/>
    </row>
    <row r="122" spans="1:1">
      <c r="A122" s="3161"/>
    </row>
    <row r="123" spans="1:1">
      <c r="A123" s="3161"/>
    </row>
    <row r="124" spans="1:1">
      <c r="A124" s="3161"/>
    </row>
    <row r="125" spans="1:1">
      <c r="A125" s="3161"/>
    </row>
    <row r="126" spans="1:1">
      <c r="A126" s="3161"/>
    </row>
    <row r="127" spans="1:1">
      <c r="A127" s="3161"/>
    </row>
    <row r="128" spans="1:1">
      <c r="A128" s="3161"/>
    </row>
    <row r="129" spans="1:1">
      <c r="A129" s="3161"/>
    </row>
    <row r="130" spans="1:1">
      <c r="A130" s="3161"/>
    </row>
    <row r="131" spans="1:1">
      <c r="A131" s="3161"/>
    </row>
    <row r="132" spans="1:1">
      <c r="A132" s="3161"/>
    </row>
    <row r="133" spans="1:1">
      <c r="A133" s="3161"/>
    </row>
    <row r="134" spans="1:1">
      <c r="A134" s="3161"/>
    </row>
    <row r="135" spans="1:1">
      <c r="A135" s="3161"/>
    </row>
    <row r="136" spans="1:1">
      <c r="A136" s="3161"/>
    </row>
    <row r="137" spans="1:1">
      <c r="A137" s="3161"/>
    </row>
    <row r="138" spans="1:1">
      <c r="A138" s="3161"/>
    </row>
    <row r="139" spans="1:1">
      <c r="A139" s="3161"/>
    </row>
    <row r="140" spans="1:1">
      <c r="A140" s="3161"/>
    </row>
    <row r="141" spans="1:1">
      <c r="A141" s="3161"/>
    </row>
    <row r="142" spans="1:1">
      <c r="A142" s="3161"/>
    </row>
    <row r="143" spans="1:1">
      <c r="A143" s="3161"/>
    </row>
    <row r="144" spans="1:1">
      <c r="A144" s="3161"/>
    </row>
    <row r="145" spans="1:1">
      <c r="A145" s="3161"/>
    </row>
    <row r="146" spans="1:1">
      <c r="A146" s="3161"/>
    </row>
    <row r="147" spans="1:1">
      <c r="A147" s="3161"/>
    </row>
    <row r="148" spans="1:1">
      <c r="A148" s="3161"/>
    </row>
    <row r="149" spans="1:1">
      <c r="A149" s="3161"/>
    </row>
    <row r="150" spans="1:1">
      <c r="A150" s="3161"/>
    </row>
    <row r="151" spans="1:1">
      <c r="A151" s="3161"/>
    </row>
    <row r="152" spans="1:1">
      <c r="A152" s="3161"/>
    </row>
    <row r="153" spans="1:1">
      <c r="A153" s="3161"/>
    </row>
    <row r="154" spans="1:1">
      <c r="A154" s="3161"/>
    </row>
    <row r="155" spans="1:1">
      <c r="A155" s="3161"/>
    </row>
    <row r="156" spans="1:1">
      <c r="A156" s="3161"/>
    </row>
    <row r="157" spans="1:1">
      <c r="A157" s="3161"/>
    </row>
    <row r="158" spans="1:1">
      <c r="A158" s="3161"/>
    </row>
    <row r="159" spans="1:1">
      <c r="A159" s="3161"/>
    </row>
    <row r="160" spans="1:1">
      <c r="A160" s="3161"/>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P1:T13"/>
  <sheetViews>
    <sheetView topLeftCell="D1" workbookViewId="0">
      <selection activeCell="T37" sqref="T37"/>
    </sheetView>
  </sheetViews>
  <sheetFormatPr defaultRowHeight="13.5"/>
  <sheetData>
    <row r="1" spans="16:20">
      <c r="Q1" s="1405" t="s">
        <v>3504</v>
      </c>
    </row>
    <row r="2" spans="16:20">
      <c r="Q2" s="1405" t="s">
        <v>3499</v>
      </c>
    </row>
    <row r="3" spans="16:20">
      <c r="P3" s="1405" t="s">
        <v>3503</v>
      </c>
      <c r="R3" s="1405" t="s">
        <v>3387</v>
      </c>
      <c r="S3" s="1405" t="s">
        <v>3502</v>
      </c>
      <c r="T3" s="1405" t="s">
        <v>3388</v>
      </c>
    </row>
    <row r="4" spans="16:20">
      <c r="Q4" s="1405" t="s">
        <v>3500</v>
      </c>
      <c r="R4">
        <v>185</v>
      </c>
      <c r="S4">
        <v>709</v>
      </c>
      <c r="T4">
        <f>ROUND(S4*10000/R4,0)</f>
        <v>38324</v>
      </c>
    </row>
    <row r="5" spans="16:20">
      <c r="Q5" s="1405" t="s">
        <v>3501</v>
      </c>
      <c r="R5">
        <v>199</v>
      </c>
      <c r="S5">
        <v>799</v>
      </c>
      <c r="T5">
        <f>ROUND(S5*10000/R5,0)</f>
        <v>40151</v>
      </c>
    </row>
    <row r="6" spans="16:20">
      <c r="Q6" s="1405" t="s">
        <v>3500</v>
      </c>
      <c r="R6">
        <v>185</v>
      </c>
      <c r="S6">
        <v>699</v>
      </c>
      <c r="T6">
        <f>ROUND(S6*10000/R6,0)</f>
        <v>37784</v>
      </c>
    </row>
    <row r="7" spans="16:20">
      <c r="Q7" s="1405" t="s">
        <v>3512</v>
      </c>
    </row>
    <row r="8" spans="16:20">
      <c r="Q8" s="1405" t="s">
        <v>3513</v>
      </c>
    </row>
    <row r="10" spans="16:20">
      <c r="Q10" s="1405" t="s">
        <v>3507</v>
      </c>
      <c r="R10">
        <v>350</v>
      </c>
      <c r="S10" s="1405" t="s">
        <v>3505</v>
      </c>
      <c r="T10" s="1405" t="s">
        <v>3506</v>
      </c>
    </row>
    <row r="11" spans="16:20">
      <c r="R11">
        <v>450</v>
      </c>
      <c r="S11" s="1405" t="s">
        <v>3505</v>
      </c>
      <c r="T11" s="1405" t="s">
        <v>3511</v>
      </c>
    </row>
    <row r="13" spans="16:20">
      <c r="Q13" s="1405" t="s">
        <v>3509</v>
      </c>
      <c r="R13">
        <v>27</v>
      </c>
      <c r="S13" s="1405" t="s">
        <v>3510</v>
      </c>
    </row>
  </sheetData>
  <phoneticPr fontId="135"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94" workbookViewId="0">
      <selection activeCell="B56" sqref="B56"/>
    </sheetView>
  </sheetViews>
  <sheetFormatPr defaultRowHeight="13.5"/>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49" zoomScale="80" zoomScaleNormal="80" workbookViewId="0">
      <selection activeCell="N100" sqref="N100"/>
    </sheetView>
  </sheetViews>
  <sheetFormatPr defaultRowHeight="13.5"/>
  <sheetData/>
  <phoneticPr fontId="13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U55" sqref="U5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3404</v>
      </c>
      <c r="C1" s="190"/>
      <c r="D1" s="190"/>
      <c r="E1" s="190"/>
      <c r="F1" s="190"/>
      <c r="G1" s="1062">
        <f>MATCH(B1,'数据-取费表'!A6:A16,0)+5</f>
        <v>6</v>
      </c>
    </row>
    <row r="2" spans="1:9" s="192" customFormat="1" ht="18" customHeight="1">
      <c r="A2" s="193" t="s">
        <v>1462</v>
      </c>
      <c r="B2" s="194">
        <f ca="1">IF(D2="——",C52,C52-E2)</f>
        <v>500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26890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264</v>
      </c>
      <c r="D5" s="203" t="s">
        <v>1469</v>
      </c>
      <c r="E5" s="204" t="s">
        <v>1470</v>
      </c>
      <c r="F5" s="204" t="s">
        <v>1471</v>
      </c>
      <c r="G5" s="205"/>
    </row>
    <row r="6" spans="1:9" s="206" customFormat="1" ht="13.5" customHeight="1">
      <c r="A6" s="732" t="s">
        <v>1472</v>
      </c>
      <c r="B6" s="207" t="s">
        <v>1473</v>
      </c>
      <c r="C6" s="208">
        <f>'基准地价修正-住宅'!B2</f>
        <v>253</v>
      </c>
      <c r="D6" s="209"/>
      <c r="E6" s="210"/>
      <c r="F6" s="210"/>
      <c r="G6" s="211"/>
    </row>
    <row r="7" spans="1:9" s="206" customFormat="1" ht="13.5" customHeight="1">
      <c r="A7" s="732" t="s">
        <v>1474</v>
      </c>
      <c r="B7" s="207" t="s">
        <v>1475</v>
      </c>
      <c r="C7" s="212">
        <f>ROUND(C6*F7,0)</f>
        <v>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4" t="s">
        <v>3578</v>
      </c>
    </row>
    <row r="9" spans="1:9" s="206" customFormat="1" ht="13.5" customHeight="1">
      <c r="A9" s="733" t="s">
        <v>355</v>
      </c>
      <c r="B9" s="216" t="s">
        <v>1478</v>
      </c>
      <c r="C9" s="217">
        <f ca="1">ROUND(D9*E9/10000,0)</f>
        <v>3</v>
      </c>
      <c r="D9" s="795">
        <f ca="1">IF(B1="",'数据-汇总表'!E5,IF(INDIRECT("'数据-取费表'!c"&amp;$G$1)="住宅",INDIRECT("'数据-取费表'!k"&amp;$G$1),0))</f>
        <v>185.94</v>
      </c>
      <c r="E9" s="217">
        <f>'数据-取费表'!B27</f>
        <v>160</v>
      </c>
      <c r="F9" s="213"/>
      <c r="G9" s="1715" t="s">
        <v>3580</v>
      </c>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185.94</v>
      </c>
      <c r="E19" s="203">
        <f>'数据-取费表'!B31</f>
        <v>200</v>
      </c>
      <c r="F19" s="223"/>
      <c r="G19" s="1714" t="s">
        <v>3579</v>
      </c>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16</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40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112</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1530</v>
      </c>
    </row>
    <row r="37" spans="1:7" s="250" customFormat="1" ht="13.5" customHeight="1">
      <c r="A37" s="734" t="s">
        <v>353</v>
      </c>
      <c r="B37" s="207" t="s">
        <v>1531</v>
      </c>
      <c r="C37" s="241">
        <f ca="1">ROUND(E37*D37*F34/10000,0)</f>
        <v>4</v>
      </c>
      <c r="D37" s="209">
        <f ca="1">D19</f>
        <v>185.94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8.9999999999999998E-4</v>
      </c>
      <c r="D44" s="230"/>
      <c r="E44" s="230"/>
      <c r="F44" s="231"/>
      <c r="G44" s="3362"/>
    </row>
    <row r="45" spans="1:7" s="206" customFormat="1" ht="13.5" customHeight="1">
      <c r="A45" s="247" t="s">
        <v>1547</v>
      </c>
      <c r="B45" s="236" t="s">
        <v>1513</v>
      </c>
      <c r="C45" s="237">
        <f ca="1">C46</f>
        <v>20</v>
      </c>
      <c r="D45" s="227">
        <f ca="1">C47</f>
        <v>4.4999999999999997E-3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172</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143</v>
      </c>
      <c r="D51" s="224"/>
      <c r="E51" s="224"/>
      <c r="F51" s="256"/>
      <c r="G51" s="226" t="s">
        <v>1560</v>
      </c>
    </row>
    <row r="52" spans="1:7" s="200" customFormat="1" ht="16.5" thickBot="1">
      <c r="A52" s="257" t="s">
        <v>1561</v>
      </c>
      <c r="B52" s="258"/>
      <c r="C52" s="259">
        <f ca="1">C31+C51</f>
        <v>500</v>
      </c>
      <c r="D52" s="258"/>
      <c r="E52" s="258"/>
      <c r="F52" s="258"/>
      <c r="G52" s="260"/>
    </row>
    <row r="55" spans="1:7" ht="15">
      <c r="B55" s="262" t="s">
        <v>1562</v>
      </c>
      <c r="C55" s="263"/>
    </row>
    <row r="56" spans="1:7">
      <c r="B56" s="265" t="s">
        <v>802</v>
      </c>
      <c r="C56" s="267">
        <f ca="1">1-C57</f>
        <v>0.71399999999999997</v>
      </c>
    </row>
    <row r="57" spans="1:7">
      <c r="B57" s="265" t="s">
        <v>803</v>
      </c>
      <c r="C57" s="266">
        <f ca="1">ROUND(C51/C52,3)</f>
        <v>0.28599999999999998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J20" sqref="J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185.94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253</v>
      </c>
      <c r="C2" s="1845" t="s">
        <v>1935</v>
      </c>
      <c r="D2" s="162" t="s">
        <v>1936</v>
      </c>
      <c r="E2" s="3119" t="s">
        <v>3404</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20417</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13607</v>
      </c>
      <c r="C3" s="1845" t="s">
        <v>1941</v>
      </c>
      <c r="D3" s="162" t="s">
        <v>1942</v>
      </c>
      <c r="E3" s="3117" t="s">
        <v>3566</v>
      </c>
      <c r="F3" s="1847" t="s">
        <v>3567</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16093</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13601</v>
      </c>
      <c r="U4" s="1130"/>
      <c r="V4" s="3062">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12624</v>
      </c>
      <c r="D5" s="1252">
        <f>ROUND(C6*C17+C20,0)</f>
        <v>10930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11996</v>
      </c>
      <c r="U5" s="1130"/>
      <c r="V5" s="3062">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10930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11528</v>
      </c>
      <c r="U6" s="1130"/>
      <c r="V6" s="3062">
        <f t="shared" si="1"/>
        <v>0</v>
      </c>
      <c r="W6" s="1133"/>
      <c r="X6" s="1133"/>
      <c r="Y6" s="1133"/>
      <c r="Z6" s="1133"/>
      <c r="AA6" s="1133"/>
      <c r="AB6" s="1133"/>
      <c r="AC6" s="1854"/>
      <c r="AD6" s="1855"/>
      <c r="AE6" s="1855"/>
      <c r="AF6" s="1855"/>
      <c r="AG6" s="1855"/>
      <c r="AH6" s="1855"/>
      <c r="AI6" s="1855"/>
      <c r="AJ6" s="1856"/>
    </row>
    <row r="7" spans="1:36" ht="24.75" thickBot="1">
      <c r="A7" s="3011" t="s">
        <v>3236</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10930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7" t="s">
        <v>1982</v>
      </c>
      <c r="C13" s="711">
        <f>ROUND(C16*D16*E16*F16*G16*H16*I16*J16,4)</f>
        <v>1.155</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3569</v>
      </c>
      <c r="D15" s="1886" t="s">
        <v>3570</v>
      </c>
      <c r="E15" s="1887" t="s">
        <v>3571</v>
      </c>
      <c r="F15" s="1470" t="s">
        <v>3243</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1.1000000000000001</v>
      </c>
      <c r="D16" s="3023">
        <v>1</v>
      </c>
      <c r="E16" s="3023">
        <v>1.05</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3247</v>
      </c>
      <c r="E18" s="2356"/>
      <c r="F18" s="3029" t="s">
        <v>3250</v>
      </c>
      <c r="G18" s="3033">
        <f>ROUND(1-(1/(POWER(1+G24,E18))),4)</f>
        <v>0</v>
      </c>
      <c r="H18" s="3029" t="s">
        <v>3252</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3248</v>
      </c>
      <c r="E19" s="3042"/>
      <c r="F19" s="3043" t="s">
        <v>3251</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70" t="s">
        <v>3253</v>
      </c>
      <c r="B20" s="159" t="s">
        <v>1994</v>
      </c>
      <c r="C20" s="3030">
        <f>ROUND(IF(F21="与级别开发程度一致",0,(G21-E21)/C21),0)</f>
        <v>0</v>
      </c>
      <c r="D20" s="3045" t="s">
        <v>1998</v>
      </c>
      <c r="E20" s="3046"/>
      <c r="F20" s="3476" t="s">
        <v>1995</v>
      </c>
      <c r="G20" s="3477"/>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7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3572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5" t="s">
        <v>2002</v>
      </c>
      <c r="E23" s="717">
        <v>44197</v>
      </c>
      <c r="F23" s="1895" t="s">
        <v>2003</v>
      </c>
      <c r="G23" s="718">
        <f>'数据-取费表'!B2</f>
        <v>45824</v>
      </c>
      <c r="H23" s="3047" t="s">
        <v>3254</v>
      </c>
      <c r="I23" s="3048" t="str">
        <f>IF(H23="季度增幅（自定义）",SUMIF(N25:N28,E2,O25:O28),"")</f>
        <v/>
      </c>
      <c r="J23" s="3140" t="s">
        <v>3573</v>
      </c>
      <c r="K23" s="1061"/>
      <c r="L23" s="1896" t="s">
        <v>2004</v>
      </c>
      <c r="M23" s="1241">
        <f>ROUND(SUMIF(地价!B2:G2,E2,地价!B16:G16),0)</f>
        <v>687</v>
      </c>
      <c r="N23" s="1897"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0.97909999999999997</v>
      </c>
      <c r="D24" s="1901" t="s">
        <v>2007</v>
      </c>
      <c r="E24" s="1248">
        <f>存贷款利率!E28/100</f>
        <v>4.3499999999999997E-2</v>
      </c>
      <c r="F24" s="1901" t="s">
        <v>1999</v>
      </c>
      <c r="G24" s="724">
        <f>SUMIF(M30:Q30,E2,M33:Q33)</f>
        <v>0.05</v>
      </c>
      <c r="H24" s="1901" t="s">
        <v>2008</v>
      </c>
      <c r="I24" s="725">
        <f>SUMIF('数据-取费表'!C6:C15,E2,'数据-取费表'!F6:F15)/COUNTIF('数据-取费表'!C6:C15,E2)</f>
        <v>60.17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3333</v>
      </c>
      <c r="C25" s="461">
        <f>IF(B25="容积率修正",IF(G3&lt;10,D26,J26),C27)</f>
        <v>1</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1.0642</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253</v>
      </c>
      <c r="D30" s="1924"/>
      <c r="E30" s="1841"/>
      <c r="F30" s="1925"/>
      <c r="G30" s="1841"/>
      <c r="H30" s="1841"/>
      <c r="I30" s="1841"/>
      <c r="J30" s="1926"/>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13594</v>
      </c>
      <c r="D33" s="1939">
        <f>'数据-汇总表'!E19</f>
        <v>185.94</v>
      </c>
      <c r="E33" s="727">
        <f>ROUND(C33*D33/10000,0)</f>
        <v>253</v>
      </c>
      <c r="F33" s="3049" t="s">
        <v>3258</v>
      </c>
      <c r="G33" s="1940"/>
      <c r="H33" s="1940"/>
      <c r="I33" s="1940"/>
      <c r="J33" s="1941"/>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3399</v>
      </c>
      <c r="D34" s="1944"/>
      <c r="E34" s="727">
        <f>ROUND(IF(B25="楼层修正",SUM(V2:V16)*M40,C34*D34/10000),0)</f>
        <v>0</v>
      </c>
      <c r="F34" s="1945" t="s">
        <v>2032</v>
      </c>
      <c r="G34" s="1946"/>
      <c r="H34" s="1946"/>
      <c r="I34" s="1946"/>
      <c r="J34" s="1947"/>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4"/>
      <c r="B37" s="1954" t="s">
        <v>2036</v>
      </c>
      <c r="C37" s="167">
        <f>ROUND(D5*C22*C23*C24*C28*F37,0)</f>
        <v>7062</v>
      </c>
      <c r="D37" s="1939"/>
      <c r="E37" s="163">
        <f>ROUND(C37*D37/10000,0)</f>
        <v>0</v>
      </c>
      <c r="F37" s="163">
        <f>SUMIF(修正!A57:A68,G2,修正!B57:B68)</f>
        <v>0.6</v>
      </c>
      <c r="G37" s="163">
        <f>ROUND(IF(E2="工业",C37*$M$42,C37*$M$41),0)</f>
        <v>1766</v>
      </c>
      <c r="H37" s="163">
        <f>D37</f>
        <v>0</v>
      </c>
      <c r="I37" s="163">
        <f>ROUND(G37*H37/10000,0)</f>
        <v>0</v>
      </c>
      <c r="J37" s="2753"/>
      <c r="K37" s="3060"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5"/>
      <c r="B38" s="1883" t="s">
        <v>2037</v>
      </c>
      <c r="C38" s="167">
        <f>ROUND(D5*C22*C23*C24*C28*F38,0)</f>
        <v>3531</v>
      </c>
      <c r="D38" s="1939"/>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5"/>
      <c r="B39" s="1883" t="s">
        <v>3257</v>
      </c>
      <c r="C39" s="167">
        <f>ROUND(D5*C22*C23*C24*C28*F39,0)</f>
        <v>2943</v>
      </c>
      <c r="D39" s="1939"/>
      <c r="E39" s="163">
        <f t="shared" si="4"/>
        <v>0</v>
      </c>
      <c r="F39" s="163">
        <f>SUMIF(修正!A57:A68,G2,修正!D57:D68)</f>
        <v>0.25</v>
      </c>
      <c r="G39" s="163">
        <f>ROUND(IF(E2="工业",C39*$M$42,C39*$M$41),0)</f>
        <v>736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2943</v>
      </c>
      <c r="D40" s="1939"/>
      <c r="E40" s="163">
        <f t="shared" si="4"/>
        <v>0</v>
      </c>
      <c r="F40" s="167">
        <f>SUMIF(修正!A57:A68,G2,修正!E57:E68)</f>
        <v>0.25</v>
      </c>
      <c r="G40" s="163">
        <f>ROUND(IF(E2="工业",C40*$M$42,C40*$M$41),0)</f>
        <v>736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1"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1.0642</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3574</v>
      </c>
      <c r="D72" s="1002">
        <f t="shared" ref="D72:D80" si="17">SUMIF($J$71:$N$71,C72,J72:N72)</f>
        <v>1.2999999999999999E-2</v>
      </c>
      <c r="E72" s="702">
        <f>ROUND(SUM(D72:D80),4)</f>
        <v>6.4199999999999993E-2</v>
      </c>
      <c r="F72" s="1675">
        <f>IF(E2="住宅",SUMIF(L1:L12,G2,N1:N12),"——")</f>
        <v>0.13</v>
      </c>
      <c r="G72" s="1000">
        <v>1.2999999999999999E-2</v>
      </c>
      <c r="H72" s="1003">
        <f t="shared" ref="H72:H80" si="18">IFERROR(ROUNDDOWN($F$72*I72/2,4),"——")</f>
        <v>1.2999999999999999E-2</v>
      </c>
      <c r="I72" s="3067">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3574</v>
      </c>
      <c r="D73" s="1002">
        <f t="shared" si="17"/>
        <v>1.6899999999999998E-2</v>
      </c>
      <c r="E73" s="705"/>
      <c r="F73" s="1675"/>
      <c r="G73" s="1000">
        <v>1.6899999999999998E-2</v>
      </c>
      <c r="H73" s="1003">
        <f t="shared" si="18"/>
        <v>1.6899999999999998E-2</v>
      </c>
      <c r="I73" s="3067">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3" customFormat="1" ht="36">
      <c r="A74" s="3069" t="s">
        <v>3267</v>
      </c>
      <c r="B74" s="1262">
        <f>估价对象房地状况!C19</f>
        <v>0</v>
      </c>
      <c r="C74" s="1886" t="s">
        <v>3574</v>
      </c>
      <c r="D74" s="1002">
        <f t="shared" si="17"/>
        <v>6.4999999999999997E-3</v>
      </c>
      <c r="E74" s="705"/>
      <c r="F74" s="1675"/>
      <c r="G74" s="1000">
        <v>6.4999999999999997E-3</v>
      </c>
      <c r="H74" s="1003">
        <f t="shared" si="18"/>
        <v>6.4999999999999997E-3</v>
      </c>
      <c r="I74" s="3067">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3575</v>
      </c>
      <c r="D75" s="1002">
        <f t="shared" si="17"/>
        <v>-3.2000000000000002E-3</v>
      </c>
      <c r="E75" s="705"/>
      <c r="F75" s="1675"/>
      <c r="G75" s="1000">
        <v>3.2000000000000002E-3</v>
      </c>
      <c r="H75" s="1003">
        <f t="shared" si="18"/>
        <v>3.2000000000000002E-3</v>
      </c>
      <c r="I75" s="3067">
        <v>0.05</v>
      </c>
      <c r="J75" s="1001">
        <f t="shared" si="19"/>
        <v>6.4000000000000003E-3</v>
      </c>
      <c r="K75" s="1001">
        <f t="shared" si="20"/>
        <v>3.2000000000000002E-3</v>
      </c>
      <c r="L75" s="1001">
        <v>0</v>
      </c>
      <c r="M75" s="1001">
        <f t="shared" si="21"/>
        <v>-3.2000000000000002E-3</v>
      </c>
      <c r="N75" s="1001">
        <f t="shared" si="21"/>
        <v>-6.4000000000000003E-3</v>
      </c>
      <c r="O75" s="1056"/>
      <c r="P75" s="1056"/>
      <c r="Q75" s="1843"/>
      <c r="Z75" s="1844"/>
      <c r="AA75" s="1894"/>
      <c r="AG75" s="1058"/>
      <c r="AK75" s="1894"/>
    </row>
    <row r="76" spans="1:37" ht="25.5">
      <c r="A76" s="1969" t="s">
        <v>2059</v>
      </c>
      <c r="B76" s="1240" t="str">
        <f>估价对象房地状况!C21</f>
        <v>估价对象所在区域公共配套设施齐备情况</v>
      </c>
      <c r="C76" s="1886" t="s">
        <v>3574</v>
      </c>
      <c r="D76" s="1002">
        <f t="shared" si="17"/>
        <v>5.1999999999999998E-3</v>
      </c>
      <c r="E76" s="705"/>
      <c r="F76" s="1675"/>
      <c r="G76" s="1000">
        <v>5.1999999999999998E-3</v>
      </c>
      <c r="H76" s="1003">
        <f t="shared" si="18"/>
        <v>5.1999999999999998E-3</v>
      </c>
      <c r="I76" s="3067">
        <v>0.08</v>
      </c>
      <c r="J76" s="1001">
        <f t="shared" si="19"/>
        <v>1.04E-2</v>
      </c>
      <c r="K76" s="1001">
        <f t="shared" si="20"/>
        <v>5.1999999999999998E-3</v>
      </c>
      <c r="L76" s="1001">
        <v>0</v>
      </c>
      <c r="M76" s="1001">
        <f t="shared" si="21"/>
        <v>-5.1999999999999998E-3</v>
      </c>
      <c r="N76" s="1001">
        <f t="shared" si="21"/>
        <v>-1.04E-2</v>
      </c>
      <c r="O76" s="1056"/>
      <c r="P76" s="1056"/>
      <c r="Z76" s="1844"/>
      <c r="AA76" s="1894"/>
      <c r="AG76" s="1058"/>
      <c r="AK76" s="1894"/>
    </row>
    <row r="77" spans="1:37" ht="25.5">
      <c r="A77" s="1969" t="s">
        <v>2060</v>
      </c>
      <c r="B77" s="1240" t="str">
        <f>估价对象房地状况!C22</f>
        <v>估价对象所在区域基础设施水平</v>
      </c>
      <c r="C77" s="1886" t="s">
        <v>3576</v>
      </c>
      <c r="D77" s="1002">
        <f t="shared" si="17"/>
        <v>1.1599999999999999E-2</v>
      </c>
      <c r="E77" s="705"/>
      <c r="F77" s="1675"/>
      <c r="G77" s="1000">
        <v>5.7999999999999996E-3</v>
      </c>
      <c r="H77" s="1003">
        <f t="shared" si="18"/>
        <v>5.7999999999999996E-3</v>
      </c>
      <c r="I77" s="3067">
        <v>0.09</v>
      </c>
      <c r="J77" s="1001">
        <f t="shared" si="19"/>
        <v>1.1599999999999999E-2</v>
      </c>
      <c r="K77" s="1001">
        <f t="shared" si="20"/>
        <v>5.7999999999999996E-3</v>
      </c>
      <c r="L77" s="1001">
        <v>0</v>
      </c>
      <c r="M77" s="1001">
        <f t="shared" si="21"/>
        <v>-5.7999999999999996E-3</v>
      </c>
      <c r="N77" s="1001">
        <f t="shared" si="21"/>
        <v>-1.1599999999999999E-2</v>
      </c>
      <c r="O77" s="1056"/>
      <c r="P77" s="1056"/>
      <c r="Z77" s="1844"/>
      <c r="AA77" s="1894"/>
      <c r="AG77" s="1058"/>
      <c r="AK77" s="1894"/>
    </row>
    <row r="78" spans="1:37" ht="24">
      <c r="A78" s="1969" t="s">
        <v>2057</v>
      </c>
      <c r="B78" s="1974" t="s">
        <v>2058</v>
      </c>
      <c r="C78" s="1886" t="s">
        <v>3574</v>
      </c>
      <c r="D78" s="1002">
        <f t="shared" si="17"/>
        <v>3.2000000000000002E-3</v>
      </c>
      <c r="E78" s="705"/>
      <c r="F78" s="1675"/>
      <c r="G78" s="1000">
        <v>3.2000000000000002E-3</v>
      </c>
      <c r="H78" s="1003">
        <f t="shared" si="18"/>
        <v>3.2000000000000002E-3</v>
      </c>
      <c r="I78" s="3067">
        <v>0.05</v>
      </c>
      <c r="J78" s="1001">
        <f t="shared" si="19"/>
        <v>6.4000000000000003E-3</v>
      </c>
      <c r="K78" s="1001">
        <f t="shared" si="20"/>
        <v>3.2000000000000002E-3</v>
      </c>
      <c r="L78" s="1001">
        <v>0</v>
      </c>
      <c r="M78" s="1001">
        <f t="shared" si="21"/>
        <v>-3.2000000000000002E-3</v>
      </c>
      <c r="N78" s="1001">
        <f t="shared" si="21"/>
        <v>-6.4000000000000003E-3</v>
      </c>
      <c r="O78" s="1843"/>
      <c r="P78" s="1843"/>
      <c r="Z78" s="1844"/>
      <c r="AA78" s="1894"/>
      <c r="AG78" s="1058"/>
      <c r="AK78" s="1894"/>
    </row>
    <row r="79" spans="1:37" ht="25.5">
      <c r="A79" s="1969" t="s">
        <v>2061</v>
      </c>
      <c r="B79" s="1972" t="str">
        <f>估价对象房地状况!C20</f>
        <v>区域自然环境：；人文环境；综合评价环境状况一般</v>
      </c>
      <c r="C79" s="1886" t="s">
        <v>3574</v>
      </c>
      <c r="D79" s="1002">
        <f t="shared" si="17"/>
        <v>7.7999999999999996E-3</v>
      </c>
      <c r="E79" s="705"/>
      <c r="F79" s="1675"/>
      <c r="G79" s="1000">
        <v>7.7999999999999996E-3</v>
      </c>
      <c r="H79" s="1003">
        <f t="shared" si="18"/>
        <v>7.7999999999999996E-3</v>
      </c>
      <c r="I79" s="3067">
        <v>0.12</v>
      </c>
      <c r="J79" s="1001">
        <f t="shared" si="19"/>
        <v>1.5599999999999999E-2</v>
      </c>
      <c r="K79" s="1001">
        <f t="shared" si="20"/>
        <v>7.7999999999999996E-3</v>
      </c>
      <c r="L79" s="1001">
        <v>0</v>
      </c>
      <c r="M79" s="1001">
        <f t="shared" si="21"/>
        <v>-7.7999999999999996E-3</v>
      </c>
      <c r="N79" s="1001">
        <f t="shared" si="21"/>
        <v>-1.5599999999999999E-2</v>
      </c>
      <c r="Z79" s="1844"/>
      <c r="AA79" s="1894"/>
      <c r="AG79" s="1058"/>
      <c r="AK79" s="1894"/>
    </row>
    <row r="80" spans="1:37" ht="24.75" thickBot="1">
      <c r="A80" s="1976" t="s">
        <v>2068</v>
      </c>
      <c r="B80" s="1980"/>
      <c r="C80" s="1886" t="s">
        <v>3574</v>
      </c>
      <c r="D80" s="1002">
        <f t="shared" si="17"/>
        <v>3.2000000000000002E-3</v>
      </c>
      <c r="E80" s="706"/>
      <c r="F80" s="1675"/>
      <c r="G80" s="1000">
        <v>3.2000000000000002E-3</v>
      </c>
      <c r="H80" s="1003">
        <f t="shared" si="18"/>
        <v>3.2000000000000002E-3</v>
      </c>
      <c r="I80" s="3068">
        <v>0.05</v>
      </c>
      <c r="J80" s="1001">
        <f t="shared" si="19"/>
        <v>6.4000000000000003E-3</v>
      </c>
      <c r="K80" s="1001">
        <f t="shared" si="20"/>
        <v>3.2000000000000002E-3</v>
      </c>
      <c r="L80" s="1001">
        <v>0</v>
      </c>
      <c r="M80" s="1001">
        <f t="shared" si="21"/>
        <v>-3.2000000000000002E-3</v>
      </c>
      <c r="N80" s="1001">
        <f t="shared" si="21"/>
        <v>-6.4000000000000003E-3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3268</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3269</v>
      </c>
      <c r="B92" s="2309"/>
      <c r="C92" s="2309" t="s">
        <v>3278</v>
      </c>
      <c r="D92" s="2309" t="s">
        <v>3279</v>
      </c>
      <c r="E92" s="3051" t="s">
        <v>3280</v>
      </c>
      <c r="F92" s="3081" t="s">
        <v>3281</v>
      </c>
      <c r="G92" s="2309" t="s">
        <v>3282</v>
      </c>
      <c r="H92" s="3088" t="s">
        <v>3285</v>
      </c>
      <c r="I92" s="2309" t="s">
        <v>3286</v>
      </c>
      <c r="J92" s="2149" t="s">
        <v>3287</v>
      </c>
      <c r="K92" s="2149" t="s">
        <v>3288</v>
      </c>
      <c r="L92" s="2149" t="s">
        <v>3289</v>
      </c>
      <c r="M92" s="2149" t="s">
        <v>3290</v>
      </c>
      <c r="N92" s="2149" t="s">
        <v>3291</v>
      </c>
    </row>
    <row r="93" spans="1:37" ht="24">
      <c r="A93" s="3069" t="s">
        <v>3270</v>
      </c>
      <c r="B93" s="1221"/>
      <c r="C93" s="1886"/>
      <c r="D93" s="2309">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3271</v>
      </c>
      <c r="B94" s="3070" t="str">
        <f>估价对象房地状况!C18</f>
        <v>估价对象周边道路状况、公共交通通达情况、停车便捷程度，综合评价交通便捷度较好</v>
      </c>
      <c r="C94" s="1886"/>
      <c r="D94" s="2309">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3267</v>
      </c>
      <c r="B95" s="3070">
        <f>估价对象房地状况!C19</f>
        <v>0</v>
      </c>
      <c r="C95" s="1886"/>
      <c r="D95" s="2309">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3272</v>
      </c>
      <c r="B96" s="3085" t="s">
        <v>3283</v>
      </c>
      <c r="C96" s="1886"/>
      <c r="D96" s="2309">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3273</v>
      </c>
      <c r="B97" s="3070">
        <f>估价对象房地状况!C24</f>
        <v>0</v>
      </c>
      <c r="C97" s="1886"/>
      <c r="D97" s="2309">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24">
      <c r="A98" s="3079" t="s">
        <v>3274</v>
      </c>
      <c r="B98" s="3086" t="s">
        <v>3284</v>
      </c>
      <c r="C98" s="1886"/>
      <c r="D98" s="2309">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5.5">
      <c r="A99" s="3079" t="s">
        <v>3275</v>
      </c>
      <c r="B99" s="3070" t="str">
        <f>估价对象房地状况!C21</f>
        <v>估价对象所在区域公共配套设施齐备情况</v>
      </c>
      <c r="C99" s="1886"/>
      <c r="D99" s="2309">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5.5">
      <c r="A100" s="3079" t="s">
        <v>3276</v>
      </c>
      <c r="B100" s="3070" t="str">
        <f>估价对象房地状况!C22</f>
        <v>估价对象所在区域基础设施水平</v>
      </c>
      <c r="C100" s="1886"/>
      <c r="D100" s="2309">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3277</v>
      </c>
      <c r="B101" s="3087" t="str">
        <f>估价对象房地状况!C20</f>
        <v>区域自然环境：；人文环境；综合评价环境状况一般</v>
      </c>
      <c r="C101" s="1886"/>
      <c r="D101" s="2309">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2" t="s">
        <v>3292</v>
      </c>
      <c r="B103" s="3472"/>
      <c r="C103" s="3472"/>
      <c r="D103" s="3472"/>
      <c r="E103" s="3472"/>
      <c r="F103" s="3472"/>
      <c r="G103" s="3472"/>
      <c r="H103" s="3472"/>
      <c r="I103" s="3472"/>
      <c r="J103" s="3472"/>
      <c r="K103" s="1667"/>
      <c r="L103" s="1667"/>
      <c r="M103" s="1667"/>
      <c r="N103" s="1667"/>
    </row>
    <row r="104" spans="1:14">
      <c r="A104" s="3473" t="s">
        <v>3293</v>
      </c>
      <c r="B104" s="3473" t="s">
        <v>3294</v>
      </c>
      <c r="C104" s="3089" t="s">
        <v>3295</v>
      </c>
      <c r="D104" s="3090"/>
      <c r="E104" s="3090"/>
      <c r="F104" s="3090"/>
      <c r="G104" s="3090"/>
      <c r="H104" s="3090"/>
      <c r="I104" s="3090"/>
      <c r="J104" s="3091"/>
      <c r="K104" s="3092"/>
      <c r="L104" s="3092"/>
      <c r="M104" s="3092"/>
      <c r="N104" s="3092"/>
    </row>
    <row r="105" spans="1:14">
      <c r="A105" s="3473"/>
      <c r="B105" s="347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2" t="s">
        <v>3309</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3310</v>
      </c>
      <c r="B116" s="3113">
        <f>G3</f>
        <v>2.5</v>
      </c>
      <c r="C116" s="3098" t="s">
        <v>3311</v>
      </c>
      <c r="D116" s="3099">
        <f>SUMPRODUCT((A118:A122=F116)*(B117:M117=H116)*B118:M122)</f>
        <v>0.90080000000000005</v>
      </c>
      <c r="E116" s="162" t="s">
        <v>3312</v>
      </c>
      <c r="F116" s="3100" t="str">
        <f>E2</f>
        <v>住宅</v>
      </c>
      <c r="G116" s="162" t="s">
        <v>3313</v>
      </c>
      <c r="H116" s="3100" t="str">
        <f>G2</f>
        <v>七级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3327</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3328</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3329</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2611</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8" priority="6" stopIfTrue="1" operator="notEqual">
      <formula>"——"</formula>
    </cfRule>
  </conditionalFormatting>
  <conditionalFormatting sqref="F61">
    <cfRule type="cellIs" dxfId="57" priority="5" stopIfTrue="1" operator="notEqual">
      <formula>"——"</formula>
    </cfRule>
  </conditionalFormatting>
  <conditionalFormatting sqref="F72">
    <cfRule type="cellIs" dxfId="56" priority="4" stopIfTrue="1" operator="notEqual">
      <formula>"——"</formula>
    </cfRule>
  </conditionalFormatting>
  <conditionalFormatting sqref="F83">
    <cfRule type="cellIs" dxfId="55" priority="3" stopIfTrue="1" operator="notEqual">
      <formula>"——"</formula>
    </cfRule>
  </conditionalFormatting>
  <conditionalFormatting sqref="H50:H58 H61:H69 H72:H80 H83:H91">
    <cfRule type="cellIs" dxfId="54" priority="2" operator="notEqual">
      <formula>"——"</formula>
    </cfRule>
  </conditionalFormatting>
  <conditionalFormatting sqref="H93:H101">
    <cfRule type="cellIs" dxfId="5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S51" sqref="S5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3481</v>
      </c>
      <c r="C1" s="190"/>
      <c r="D1" s="190"/>
      <c r="E1" s="190"/>
      <c r="F1" s="190"/>
      <c r="G1" s="1062">
        <f>MATCH(B1,'数据-取费表'!A6:A16,0)+5</f>
        <v>7</v>
      </c>
    </row>
    <row r="2" spans="1:9" s="192" customFormat="1" ht="18" customHeight="1">
      <c r="A2" s="193" t="s">
        <v>685</v>
      </c>
      <c r="B2" s="194">
        <f ca="1">IF(D2="——",C52,C52-E2)</f>
        <v>27</v>
      </c>
      <c r="C2" s="191" t="s">
        <v>1463</v>
      </c>
      <c r="D2" s="1711" t="s">
        <v>43</v>
      </c>
      <c r="E2" s="1089" t="e">
        <f ca="1">SUMIF(INDIRECT("'"&amp;G2&amp;"'"&amp;"!A:A"),"承租人权益价值",INDIRECT("'"&amp;G2&amp;"'"&amp;"!c:c"))</f>
        <v>#REF!</v>
      </c>
      <c r="F2" s="1712" t="s">
        <v>1463</v>
      </c>
      <c r="G2" s="1713"/>
    </row>
    <row r="3" spans="1:9" s="192" customFormat="1" ht="18" customHeight="1" thickBot="1">
      <c r="A3" s="195" t="s">
        <v>686</v>
      </c>
      <c r="B3" s="196">
        <f ca="1">ROUND(B2*10000/(IF(B1="",'数据-汇总表'!E3,INDIRECT("'数据-取费表'!k"&amp;$G$1))),0)</f>
        <v>8783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6</v>
      </c>
      <c r="D5" s="203" t="s">
        <v>1469</v>
      </c>
      <c r="E5" s="204" t="s">
        <v>1470</v>
      </c>
      <c r="F5" s="204" t="s">
        <v>1471</v>
      </c>
      <c r="G5" s="205"/>
    </row>
    <row r="6" spans="1:9" s="206" customFormat="1" ht="13.5" customHeight="1">
      <c r="A6" s="732" t="s">
        <v>346</v>
      </c>
      <c r="B6" s="207" t="s">
        <v>1473</v>
      </c>
      <c r="C6" s="208">
        <f>'基准地价修正-车位'!B2</f>
        <v>5</v>
      </c>
      <c r="D6" s="209"/>
      <c r="E6" s="210"/>
      <c r="F6" s="210"/>
      <c r="G6" s="211"/>
    </row>
    <row r="7" spans="1:9" s="206" customFormat="1" ht="13.5" customHeight="1">
      <c r="A7" s="732" t="s">
        <v>347</v>
      </c>
      <c r="B7" s="207" t="s">
        <v>1475</v>
      </c>
      <c r="C7" s="212">
        <f>ROUND(C6*F7,0)</f>
        <v>0</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1</v>
      </c>
      <c r="D8" s="214"/>
      <c r="E8" s="212"/>
      <c r="F8" s="213"/>
      <c r="G8" s="1714" t="s">
        <v>3578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3580</v>
      </c>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30.74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30.74</v>
      </c>
      <c r="E19" s="203">
        <f>'数据-取费表'!B31</f>
        <v>200</v>
      </c>
      <c r="F19" s="223"/>
      <c r="G19" s="1714" t="s">
        <v>3579</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0.03</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0</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1.5E-3</v>
      </c>
      <c r="E27" s="228" t="s">
        <v>1498</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1</v>
      </c>
      <c r="D37" s="209">
        <f ca="1">D19</f>
        <v>30.74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1491</v>
      </c>
      <c r="B39" s="202" t="s">
        <v>1494</v>
      </c>
      <c r="C39" s="224">
        <f ca="1">ROUND(C33*F20,0)</f>
        <v>0</v>
      </c>
      <c r="D39" s="224"/>
      <c r="E39" s="224"/>
      <c r="F39" s="225">
        <f>F20</f>
        <v>0.02</v>
      </c>
      <c r="G39" s="226" t="s">
        <v>1536</v>
      </c>
    </row>
    <row r="40" spans="1:7" s="206" customFormat="1" ht="13.5" customHeight="1">
      <c r="A40" s="247" t="s">
        <v>1493</v>
      </c>
      <c r="B40" s="202" t="s">
        <v>1497</v>
      </c>
      <c r="C40" s="227">
        <f>F21</f>
        <v>0.03</v>
      </c>
      <c r="D40" s="228" t="s">
        <v>1539</v>
      </c>
      <c r="E40" s="224"/>
      <c r="F40" s="225">
        <f>F21</f>
        <v>0.03</v>
      </c>
      <c r="G40" s="226" t="s">
        <v>1540</v>
      </c>
    </row>
    <row r="41" spans="1:7" s="206" customFormat="1" ht="13.5" customHeight="1">
      <c r="A41" s="247" t="s">
        <v>1496</v>
      </c>
      <c r="B41" s="202" t="s">
        <v>1501</v>
      </c>
      <c r="C41" s="224">
        <f ca="1">ROUND(SUM(C42:C43),0)</f>
        <v>1</v>
      </c>
      <c r="D41" s="227">
        <f ca="1">C44</f>
        <v>8.9999999999999998E-4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1</v>
      </c>
      <c r="D42" s="230"/>
      <c r="E42" s="230"/>
      <c r="F42" s="231"/>
      <c r="G42" s="3360" t="s">
        <v>1544</v>
      </c>
    </row>
    <row r="43" spans="1:7" ht="13.5" customHeight="1">
      <c r="A43" s="734" t="s">
        <v>347</v>
      </c>
      <c r="B43" s="207" t="s">
        <v>1506</v>
      </c>
      <c r="C43" s="230">
        <f ca="1">ROUND(IF('数据-取费表'!B22&lt;=1,C39*F22*'数据-取费表'!B21/2,C39*(POWER((1+F22),'数据-取费表'!B21/2)-1)),0)</f>
        <v>0</v>
      </c>
      <c r="D43" s="230"/>
      <c r="E43" s="230"/>
      <c r="F43" s="231"/>
      <c r="G43" s="3361"/>
    </row>
    <row r="44" spans="1:7" ht="13.5" customHeight="1">
      <c r="A44" s="734" t="s">
        <v>348</v>
      </c>
      <c r="B44" s="207" t="s">
        <v>1509</v>
      </c>
      <c r="C44" s="230">
        <f ca="1">ROUND(IF('数据-取费表'!B22&lt;=1,C40*F22*'数据-取费表'!B21/2,C40*(POWER((1+F22),'数据-取费表'!B21/2)-1)),4)</f>
        <v>8.9999999999999998E-4</v>
      </c>
      <c r="D44" s="230"/>
      <c r="E44" s="230"/>
      <c r="F44" s="231"/>
      <c r="G44" s="3362"/>
    </row>
    <row r="45" spans="1:7" s="206" customFormat="1" ht="13.5" customHeight="1">
      <c r="A45" s="247" t="s">
        <v>1500</v>
      </c>
      <c r="B45" s="236" t="s">
        <v>1513</v>
      </c>
      <c r="C45" s="237">
        <f ca="1">C46</f>
        <v>1</v>
      </c>
      <c r="D45" s="227">
        <f ca="1">C47</f>
        <v>1.5E-3</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20</v>
      </c>
      <c r="D51" s="224"/>
      <c r="E51" s="224"/>
      <c r="F51" s="256"/>
      <c r="G51" s="226" t="s">
        <v>1560</v>
      </c>
    </row>
    <row r="52" spans="1:7" s="200" customFormat="1" ht="16.5" thickBot="1">
      <c r="A52" s="257" t="s">
        <v>1561</v>
      </c>
      <c r="B52" s="258"/>
      <c r="C52" s="259">
        <f ca="1">C31+C51</f>
        <v>27</v>
      </c>
      <c r="D52" s="258"/>
      <c r="E52" s="258"/>
      <c r="F52" s="258"/>
      <c r="G52" s="260"/>
    </row>
    <row r="55" spans="1:7" ht="15">
      <c r="B55" s="262" t="s">
        <v>1562</v>
      </c>
      <c r="C55" s="263"/>
    </row>
    <row r="56" spans="1:7">
      <c r="B56" s="265" t="s">
        <v>802</v>
      </c>
      <c r="C56" s="267">
        <f ca="1">1-C57</f>
        <v>0.25900000000000001</v>
      </c>
    </row>
    <row r="57" spans="1:7">
      <c r="B57" s="265" t="s">
        <v>803</v>
      </c>
      <c r="C57" s="266">
        <f ca="1">ROUND(C51/C52,3)</f>
        <v>0.74099999999999999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Normal="80" zoomScaleSheetLayoutView="100" workbookViewId="0">
      <selection activeCell="E42" sqref="E4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30.74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v>
      </c>
      <c r="C2" s="1845" t="s">
        <v>1935</v>
      </c>
      <c r="D2" s="162" t="s">
        <v>1936</v>
      </c>
      <c r="E2" s="3119" t="s">
        <v>3404</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20417</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1627</v>
      </c>
      <c r="C3" s="1845" t="s">
        <v>1941</v>
      </c>
      <c r="D3" s="162" t="s">
        <v>1942</v>
      </c>
      <c r="E3" s="3117" t="s">
        <v>3566</v>
      </c>
      <c r="F3" s="1847" t="s">
        <v>3567</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16093</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13601</v>
      </c>
      <c r="U4" s="1130"/>
      <c r="V4" s="3062">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12624</v>
      </c>
      <c r="D5" s="1252">
        <f>ROUND(C6*C17+C20,0)</f>
        <v>10930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11996</v>
      </c>
      <c r="U5" s="1130"/>
      <c r="V5" s="3062">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10930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11528</v>
      </c>
      <c r="U6" s="1130"/>
      <c r="V6" s="3062">
        <f t="shared" si="1"/>
        <v>0</v>
      </c>
      <c r="W6" s="1133"/>
      <c r="X6" s="1133"/>
      <c r="Y6" s="1133"/>
      <c r="Z6" s="1133"/>
      <c r="AA6" s="1133"/>
      <c r="AB6" s="1133"/>
      <c r="AC6" s="1854"/>
      <c r="AD6" s="1855"/>
      <c r="AE6" s="1855"/>
      <c r="AF6" s="1855"/>
      <c r="AG6" s="1855"/>
      <c r="AH6" s="1855"/>
      <c r="AI6" s="1855"/>
      <c r="AJ6" s="1856"/>
    </row>
    <row r="7" spans="1:36" ht="24.75" thickBot="1">
      <c r="A7" s="3011" t="s">
        <v>3236</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10930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3237</v>
      </c>
      <c r="B12" s="3012" t="s">
        <v>3238</v>
      </c>
      <c r="C12" s="3013"/>
      <c r="D12" s="3014" t="s">
        <v>3239</v>
      </c>
      <c r="E12" s="3015" t="s">
        <v>3240</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3241</v>
      </c>
      <c r="B13" s="1877" t="s">
        <v>1982</v>
      </c>
      <c r="C13" s="711">
        <f>ROUND(C16*D16*E16*F16*G16*H16*I16*J16,4)</f>
        <v>1.155</v>
      </c>
      <c r="D13" s="1878" t="s">
        <v>1983</v>
      </c>
      <c r="E13" s="1879"/>
      <c r="F13" s="1879"/>
      <c r="G13" s="1880"/>
      <c r="H13" s="1880"/>
      <c r="I13" s="1880"/>
      <c r="J13" s="1881"/>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4"/>
      <c r="C15" s="1885" t="s">
        <v>3569</v>
      </c>
      <c r="D15" s="1886" t="s">
        <v>3570</v>
      </c>
      <c r="E15" s="1887" t="s">
        <v>3571</v>
      </c>
      <c r="F15" s="1470" t="s">
        <v>3243</v>
      </c>
      <c r="G15" s="1927"/>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v>1.1000000000000001</v>
      </c>
      <c r="D16" s="3023">
        <v>1</v>
      </c>
      <c r="E16" s="3023">
        <v>1.05</v>
      </c>
      <c r="F16" s="3023">
        <v>1</v>
      </c>
      <c r="G16" s="3023">
        <v>1</v>
      </c>
      <c r="H16" s="3023">
        <v>1</v>
      </c>
      <c r="I16" s="3023">
        <v>1</v>
      </c>
      <c r="J16" s="3024">
        <v>1</v>
      </c>
      <c r="K16" s="1056"/>
      <c r="L16" s="1843"/>
      <c r="M16" s="1843"/>
      <c r="N16" s="1843"/>
      <c r="O16" s="1843"/>
      <c r="P16" s="1843"/>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3247</v>
      </c>
      <c r="E18" s="2356"/>
      <c r="F18" s="3029" t="s">
        <v>3250</v>
      </c>
      <c r="G18" s="3033">
        <f>ROUND(1-(1/(POWER(1+G24,E18))),4)</f>
        <v>0</v>
      </c>
      <c r="H18" s="3029" t="s">
        <v>3252</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3248</v>
      </c>
      <c r="E19" s="3042"/>
      <c r="F19" s="3043" t="s">
        <v>3251</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70" t="s">
        <v>3253</v>
      </c>
      <c r="B20" s="159" t="s">
        <v>1994</v>
      </c>
      <c r="C20" s="3030">
        <f>ROUND(IF(F21="与级别开发程度一致",0,(G21-E21)/C21),0)</f>
        <v>0</v>
      </c>
      <c r="D20" s="3045" t="s">
        <v>1998</v>
      </c>
      <c r="E20" s="3046"/>
      <c r="F20" s="3476" t="s">
        <v>1995</v>
      </c>
      <c r="G20" s="3477"/>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71"/>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3572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895" t="s">
        <v>2002</v>
      </c>
      <c r="E23" s="717">
        <v>44197</v>
      </c>
      <c r="F23" s="1895" t="s">
        <v>2003</v>
      </c>
      <c r="G23" s="718">
        <f>'数据-取费表'!B2</f>
        <v>45824</v>
      </c>
      <c r="H23" s="3047" t="s">
        <v>3254</v>
      </c>
      <c r="I23" s="3048" t="str">
        <f>IF(H23="季度增幅（自定义）",SUMIF(N25:N28,E2,O25:O28),"")</f>
        <v/>
      </c>
      <c r="J23" s="3140" t="s">
        <v>3573</v>
      </c>
      <c r="K23" s="1061"/>
      <c r="L23" s="1896" t="s">
        <v>2004</v>
      </c>
      <c r="M23" s="1241">
        <f>ROUND(SUMIF(地价!B2:G2,E2,地价!B16:G16),0)</f>
        <v>687</v>
      </c>
      <c r="N23" s="1897"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0.97909999999999997</v>
      </c>
      <c r="D24" s="1901" t="s">
        <v>2007</v>
      </c>
      <c r="E24" s="1248">
        <f>存贷款利率!E28/100</f>
        <v>4.3499999999999997E-2</v>
      </c>
      <c r="F24" s="1901" t="s">
        <v>1999</v>
      </c>
      <c r="G24" s="724">
        <f>SUMIF(M30:Q30,E2,M33:Q33)</f>
        <v>0.05</v>
      </c>
      <c r="H24" s="1901" t="s">
        <v>2008</v>
      </c>
      <c r="I24" s="725">
        <f>SUMIF('数据-取费表'!C6:C15,E2,'数据-取费表'!F6:F15)/COUNTIF('数据-取费表'!C6:C15,E2)</f>
        <v>60.17</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3333</v>
      </c>
      <c r="C25" s="461">
        <f>IF(B25="容积率修正",IF(G3&lt;10,D26,J26),C27)</f>
        <v>1</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1.0642</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5</v>
      </c>
      <c r="D30" s="1924"/>
      <c r="E30" s="1841"/>
      <c r="F30" s="1925"/>
      <c r="G30" s="1841"/>
      <c r="H30" s="1841"/>
      <c r="I30" s="1841"/>
      <c r="J30" s="1926"/>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1</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13594</v>
      </c>
      <c r="D33" s="1939"/>
      <c r="E33" s="727">
        <f>ROUND(C33*D33/10000,0)</f>
        <v>0</v>
      </c>
      <c r="F33" s="3049" t="s">
        <v>3258</v>
      </c>
      <c r="G33" s="1940"/>
      <c r="H33" s="1940"/>
      <c r="I33" s="1940"/>
      <c r="J33" s="1941"/>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3399</v>
      </c>
      <c r="D34" s="1944"/>
      <c r="E34" s="727">
        <f>ROUND(IF(B25="楼层修正",SUM(V2:V16)*M40,C34*D34/10000),0)</f>
        <v>0</v>
      </c>
      <c r="F34" s="1945" t="s">
        <v>2032</v>
      </c>
      <c r="G34" s="1946"/>
      <c r="H34" s="1946"/>
      <c r="I34" s="1946"/>
      <c r="J34" s="1947"/>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4"/>
      <c r="B37" s="1954" t="s">
        <v>2036</v>
      </c>
      <c r="C37" s="167">
        <f>ROUND(D5*C22*C23*C24*C28*F37,0)</f>
        <v>7062</v>
      </c>
      <c r="D37" s="1939"/>
      <c r="E37" s="163">
        <f>ROUND(C37*D37/10000,0)</f>
        <v>0</v>
      </c>
      <c r="F37" s="163">
        <f>SUMIF(修正!A57:A68,G2,修正!B57:B68)</f>
        <v>0.6</v>
      </c>
      <c r="G37" s="163">
        <f>ROUND(IF(E2="工业",C37*$M$42,C37*$M$41),0)</f>
        <v>1766</v>
      </c>
      <c r="H37" s="163">
        <f>D37</f>
        <v>0</v>
      </c>
      <c r="I37" s="163">
        <f>ROUND(G37*H37/10000,0)</f>
        <v>0</v>
      </c>
      <c r="J37" s="2753"/>
      <c r="K37" s="3060" t="s">
        <v>3264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5"/>
      <c r="B38" s="1883" t="s">
        <v>2037</v>
      </c>
      <c r="C38" s="167">
        <f>ROUND(D5*C22*C23*C24*C28*F38,0)</f>
        <v>3531</v>
      </c>
      <c r="D38" s="1939"/>
      <c r="E38" s="163">
        <f t="shared" ref="E38:E42" si="4">ROUND(C38*D38/10000,0)</f>
        <v>0</v>
      </c>
      <c r="F38" s="163">
        <f>SUMIF(修正!A57:A68,G2,修正!C57:C68)</f>
        <v>0.3</v>
      </c>
      <c r="G38" s="163">
        <f>ROUND(IF(E2="工业",C38*$M$42,C38*$M$41),0)</f>
        <v>883</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5"/>
      <c r="B39" s="1883" t="s">
        <v>3257</v>
      </c>
      <c r="C39" s="167">
        <f>ROUND(D5*C22*C23*C24*C28*F39,0)</f>
        <v>2943</v>
      </c>
      <c r="D39" s="1939"/>
      <c r="E39" s="163">
        <f t="shared" si="4"/>
        <v>0</v>
      </c>
      <c r="F39" s="163">
        <f>SUMIF(修正!A57:A68,G2,修正!D57:D68)</f>
        <v>0.25</v>
      </c>
      <c r="G39" s="163">
        <f>ROUND(IF(E2="工业",C39*$M$42,C39*$M$41),0)</f>
        <v>736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2943</v>
      </c>
      <c r="D40" s="1939"/>
      <c r="E40" s="163">
        <f t="shared" si="4"/>
        <v>0</v>
      </c>
      <c r="F40" s="167">
        <f>SUMIF(修正!A57:A68,G2,修正!E57:E68)</f>
        <v>0.25</v>
      </c>
      <c r="G40" s="163">
        <f>ROUND(IF(E2="工业",C40*$M$42,C40*$M$41),0)</f>
        <v>736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2828</v>
      </c>
      <c r="D41" s="1939"/>
      <c r="E41" s="163">
        <f t="shared" si="4"/>
        <v>0</v>
      </c>
      <c r="F41" s="167">
        <f>SUMIF(修正!A57:A68,G2,修正!F57:F68)</f>
        <v>0.25</v>
      </c>
      <c r="G41" s="163">
        <f>ROUND(IF(E2="工业",C41*$M$42,C41*$M$41),0)</f>
        <v>707</v>
      </c>
      <c r="H41" s="163">
        <f t="shared" si="5"/>
        <v>0</v>
      </c>
      <c r="I41" s="163">
        <f t="shared" si="6"/>
        <v>0</v>
      </c>
      <c r="J41" s="939"/>
      <c r="L41" s="3061" t="s">
        <v>3265</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1697</v>
      </c>
      <c r="D42" s="1944">
        <f>'数据-汇总表'!E20</f>
        <v>30.74</v>
      </c>
      <c r="E42" s="179">
        <f t="shared" si="4"/>
        <v>5</v>
      </c>
      <c r="F42" s="723">
        <f>SUMIF(修正!A57:A68,G2,修正!G57:G68)</f>
        <v>0.15</v>
      </c>
      <c r="G42" s="179">
        <f>ROUND(IF(E2="工业",C42*$M$42,C42*$M$41),0)</f>
        <v>424</v>
      </c>
      <c r="H42" s="179">
        <f t="shared" si="5"/>
        <v>30.74</v>
      </c>
      <c r="I42" s="179">
        <f t="shared" si="6"/>
        <v>1</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2121</v>
      </c>
      <c r="C44" s="333">
        <f>ROUND(POWER(1+E44,H44-G44)*(POWER(1+E44,G44)-1)/(POWER(1+E44,H44)-1),4)</f>
        <v>0.94110000000000005</v>
      </c>
      <c r="D44" s="163" t="s">
        <v>1999</v>
      </c>
      <c r="E44" s="1990">
        <f>G24</f>
        <v>0.05</v>
      </c>
      <c r="F44" s="163" t="s">
        <v>2008</v>
      </c>
      <c r="G44" s="175">
        <f>项目基本情况!F15</f>
        <v>40.159999999999997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1.0642</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3574</v>
      </c>
      <c r="D72" s="1002">
        <f t="shared" ref="D72:D80" si="17">SUMIF($J$71:$N$71,C72,J72:N72)</f>
        <v>1.2999999999999999E-2</v>
      </c>
      <c r="E72" s="702">
        <f>ROUND(SUM(D72:D80),4)</f>
        <v>6.4199999999999993E-2</v>
      </c>
      <c r="F72" s="1675">
        <f>IF(E2="住宅",SUMIF(L1:L12,G2,N1:N12),"——")</f>
        <v>0.13</v>
      </c>
      <c r="G72" s="1000">
        <v>1.2999999999999999E-2</v>
      </c>
      <c r="H72" s="1003">
        <f t="shared" ref="H72:H80" si="18">IFERROR(ROUNDDOWN($F$72*I72/2,4),"——")</f>
        <v>1.2999999999999999E-2</v>
      </c>
      <c r="I72" s="3067">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3574</v>
      </c>
      <c r="D73" s="1002">
        <f t="shared" si="17"/>
        <v>1.6899999999999998E-2</v>
      </c>
      <c r="E73" s="705"/>
      <c r="F73" s="1675"/>
      <c r="G73" s="1000">
        <v>1.6899999999999998E-2</v>
      </c>
      <c r="H73" s="1003">
        <f t="shared" si="18"/>
        <v>1.6899999999999998E-2</v>
      </c>
      <c r="I73" s="3067">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3" customFormat="1" ht="36">
      <c r="A74" s="3069" t="s">
        <v>3267</v>
      </c>
      <c r="B74" s="1262">
        <f>估价对象房地状况!C19</f>
        <v>0</v>
      </c>
      <c r="C74" s="1886" t="s">
        <v>3574</v>
      </c>
      <c r="D74" s="1002">
        <f t="shared" si="17"/>
        <v>6.4999999999999997E-3</v>
      </c>
      <c r="E74" s="705"/>
      <c r="F74" s="1675"/>
      <c r="G74" s="1000">
        <v>6.4999999999999997E-3</v>
      </c>
      <c r="H74" s="1003">
        <f t="shared" si="18"/>
        <v>6.4999999999999997E-3</v>
      </c>
      <c r="I74" s="3067">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3575</v>
      </c>
      <c r="D75" s="1002">
        <f t="shared" si="17"/>
        <v>-3.2000000000000002E-3</v>
      </c>
      <c r="E75" s="705"/>
      <c r="F75" s="1675"/>
      <c r="G75" s="1000">
        <v>3.2000000000000002E-3</v>
      </c>
      <c r="H75" s="1003">
        <f t="shared" si="18"/>
        <v>3.2000000000000002E-3</v>
      </c>
      <c r="I75" s="3067">
        <v>0.05</v>
      </c>
      <c r="J75" s="1001">
        <f t="shared" si="19"/>
        <v>6.4000000000000003E-3</v>
      </c>
      <c r="K75" s="1001">
        <f t="shared" si="20"/>
        <v>3.2000000000000002E-3</v>
      </c>
      <c r="L75" s="1001">
        <v>0</v>
      </c>
      <c r="M75" s="1001">
        <f t="shared" si="21"/>
        <v>-3.2000000000000002E-3</v>
      </c>
      <c r="N75" s="1001">
        <f t="shared" si="21"/>
        <v>-6.4000000000000003E-3</v>
      </c>
      <c r="O75" s="1056"/>
      <c r="P75" s="1056"/>
      <c r="Q75" s="1843"/>
      <c r="Z75" s="1844"/>
      <c r="AA75" s="1894"/>
      <c r="AG75" s="1058"/>
      <c r="AK75" s="1894"/>
    </row>
    <row r="76" spans="1:37" ht="25.5">
      <c r="A76" s="1969" t="s">
        <v>2059</v>
      </c>
      <c r="B76" s="1240" t="str">
        <f>估价对象房地状况!C21</f>
        <v>估价对象所在区域公共配套设施齐备情况</v>
      </c>
      <c r="C76" s="1886" t="s">
        <v>3574</v>
      </c>
      <c r="D76" s="1002">
        <f t="shared" si="17"/>
        <v>5.1999999999999998E-3</v>
      </c>
      <c r="E76" s="705"/>
      <c r="F76" s="1675"/>
      <c r="G76" s="1000">
        <v>5.1999999999999998E-3</v>
      </c>
      <c r="H76" s="1003">
        <f t="shared" si="18"/>
        <v>5.1999999999999998E-3</v>
      </c>
      <c r="I76" s="3067">
        <v>0.08</v>
      </c>
      <c r="J76" s="1001">
        <f t="shared" si="19"/>
        <v>1.04E-2</v>
      </c>
      <c r="K76" s="1001">
        <f t="shared" si="20"/>
        <v>5.1999999999999998E-3</v>
      </c>
      <c r="L76" s="1001">
        <v>0</v>
      </c>
      <c r="M76" s="1001">
        <f t="shared" si="21"/>
        <v>-5.1999999999999998E-3</v>
      </c>
      <c r="N76" s="1001">
        <f t="shared" si="21"/>
        <v>-1.04E-2</v>
      </c>
      <c r="O76" s="1056"/>
      <c r="P76" s="1056"/>
      <c r="Z76" s="1844"/>
      <c r="AA76" s="1894"/>
      <c r="AG76" s="1058"/>
      <c r="AK76" s="1894"/>
    </row>
    <row r="77" spans="1:37" ht="25.5">
      <c r="A77" s="1969" t="s">
        <v>2060</v>
      </c>
      <c r="B77" s="1240" t="str">
        <f>估价对象房地状况!C22</f>
        <v>估价对象所在区域基础设施水平</v>
      </c>
      <c r="C77" s="1886" t="s">
        <v>3576</v>
      </c>
      <c r="D77" s="1002">
        <f t="shared" si="17"/>
        <v>1.1599999999999999E-2</v>
      </c>
      <c r="E77" s="705"/>
      <c r="F77" s="1675"/>
      <c r="G77" s="1000">
        <v>5.7999999999999996E-3</v>
      </c>
      <c r="H77" s="1003">
        <f t="shared" si="18"/>
        <v>5.7999999999999996E-3</v>
      </c>
      <c r="I77" s="3067">
        <v>0.09</v>
      </c>
      <c r="J77" s="1001">
        <f t="shared" si="19"/>
        <v>1.1599999999999999E-2</v>
      </c>
      <c r="K77" s="1001">
        <f t="shared" si="20"/>
        <v>5.7999999999999996E-3</v>
      </c>
      <c r="L77" s="1001">
        <v>0</v>
      </c>
      <c r="M77" s="1001">
        <f t="shared" si="21"/>
        <v>-5.7999999999999996E-3</v>
      </c>
      <c r="N77" s="1001">
        <f t="shared" si="21"/>
        <v>-1.1599999999999999E-2</v>
      </c>
      <c r="O77" s="1056"/>
      <c r="P77" s="1056"/>
      <c r="Z77" s="1844"/>
      <c r="AA77" s="1894"/>
      <c r="AG77" s="1058"/>
      <c r="AK77" s="1894"/>
    </row>
    <row r="78" spans="1:37" ht="24">
      <c r="A78" s="1969" t="s">
        <v>2057</v>
      </c>
      <c r="B78" s="1974" t="s">
        <v>2058</v>
      </c>
      <c r="C78" s="1886" t="s">
        <v>3574</v>
      </c>
      <c r="D78" s="1002">
        <f t="shared" si="17"/>
        <v>3.2000000000000002E-3</v>
      </c>
      <c r="E78" s="705"/>
      <c r="F78" s="1675"/>
      <c r="G78" s="1000">
        <v>3.2000000000000002E-3</v>
      </c>
      <c r="H78" s="1003">
        <f t="shared" si="18"/>
        <v>3.2000000000000002E-3</v>
      </c>
      <c r="I78" s="3067">
        <v>0.05</v>
      </c>
      <c r="J78" s="1001">
        <f t="shared" si="19"/>
        <v>6.4000000000000003E-3</v>
      </c>
      <c r="K78" s="1001">
        <f t="shared" si="20"/>
        <v>3.2000000000000002E-3</v>
      </c>
      <c r="L78" s="1001">
        <v>0</v>
      </c>
      <c r="M78" s="1001">
        <f t="shared" si="21"/>
        <v>-3.2000000000000002E-3</v>
      </c>
      <c r="N78" s="1001">
        <f t="shared" si="21"/>
        <v>-6.4000000000000003E-3</v>
      </c>
      <c r="O78" s="1843"/>
      <c r="P78" s="1843"/>
      <c r="Z78" s="1844"/>
      <c r="AA78" s="1894"/>
      <c r="AG78" s="1058"/>
      <c r="AK78" s="1894"/>
    </row>
    <row r="79" spans="1:37" ht="25.5">
      <c r="A79" s="1969" t="s">
        <v>2061</v>
      </c>
      <c r="B79" s="1972" t="str">
        <f>估价对象房地状况!C20</f>
        <v>区域自然环境：；人文环境；综合评价环境状况一般</v>
      </c>
      <c r="C79" s="1886" t="s">
        <v>3574</v>
      </c>
      <c r="D79" s="1002">
        <f t="shared" si="17"/>
        <v>7.7999999999999996E-3</v>
      </c>
      <c r="E79" s="705"/>
      <c r="F79" s="1675"/>
      <c r="G79" s="1000">
        <v>7.7999999999999996E-3</v>
      </c>
      <c r="H79" s="1003">
        <f t="shared" si="18"/>
        <v>7.7999999999999996E-3</v>
      </c>
      <c r="I79" s="3067">
        <v>0.12</v>
      </c>
      <c r="J79" s="1001">
        <f t="shared" si="19"/>
        <v>1.5599999999999999E-2</v>
      </c>
      <c r="K79" s="1001">
        <f t="shared" si="20"/>
        <v>7.7999999999999996E-3</v>
      </c>
      <c r="L79" s="1001">
        <v>0</v>
      </c>
      <c r="M79" s="1001">
        <f t="shared" si="21"/>
        <v>-7.7999999999999996E-3</v>
      </c>
      <c r="N79" s="1001">
        <f t="shared" si="21"/>
        <v>-1.5599999999999999E-2</v>
      </c>
      <c r="Z79" s="1844"/>
      <c r="AA79" s="1894"/>
      <c r="AG79" s="1058"/>
      <c r="AK79" s="1894"/>
    </row>
    <row r="80" spans="1:37" ht="24.75" thickBot="1">
      <c r="A80" s="1976" t="s">
        <v>2068</v>
      </c>
      <c r="B80" s="1980"/>
      <c r="C80" s="1886" t="s">
        <v>3574</v>
      </c>
      <c r="D80" s="1002">
        <f t="shared" si="17"/>
        <v>3.2000000000000002E-3</v>
      </c>
      <c r="E80" s="706"/>
      <c r="F80" s="1675"/>
      <c r="G80" s="1000">
        <v>3.2000000000000002E-3</v>
      </c>
      <c r="H80" s="1003">
        <f t="shared" si="18"/>
        <v>3.2000000000000002E-3</v>
      </c>
      <c r="I80" s="3068">
        <v>0.05</v>
      </c>
      <c r="J80" s="1001">
        <f t="shared" si="19"/>
        <v>6.4000000000000003E-3</v>
      </c>
      <c r="K80" s="1001">
        <f t="shared" si="20"/>
        <v>3.2000000000000002E-3</v>
      </c>
      <c r="L80" s="1001">
        <v>0</v>
      </c>
      <c r="M80" s="1001">
        <f t="shared" si="21"/>
        <v>-3.2000000000000002E-3</v>
      </c>
      <c r="N80" s="1001">
        <f t="shared" si="21"/>
        <v>-6.4000000000000003E-3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3267</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2611</v>
      </c>
      <c r="B91" s="3078">
        <f>1+E93</f>
        <v>1</v>
      </c>
      <c r="C91" s="3071"/>
      <c r="D91" s="3072"/>
      <c r="E91" s="1675"/>
      <c r="F91" s="1675"/>
      <c r="G91" s="3073"/>
      <c r="H91" s="3074"/>
      <c r="I91" s="3075"/>
      <c r="J91" s="3076"/>
      <c r="K91" s="3076"/>
      <c r="L91" s="3076"/>
      <c r="M91" s="3076"/>
      <c r="N91" s="3076"/>
    </row>
    <row r="92" spans="1:37" ht="24.75">
      <c r="A92" s="3079" t="s">
        <v>2044</v>
      </c>
      <c r="B92" s="2309"/>
      <c r="C92" s="2309" t="s">
        <v>2046</v>
      </c>
      <c r="D92" s="2309" t="s">
        <v>2047</v>
      </c>
      <c r="E92" s="3051" t="s">
        <v>2048</v>
      </c>
      <c r="F92" s="3081" t="s">
        <v>3281</v>
      </c>
      <c r="G92" s="2309" t="s">
        <v>1989</v>
      </c>
      <c r="H92" s="3088" t="s">
        <v>3285</v>
      </c>
      <c r="I92" s="2309" t="s">
        <v>2051</v>
      </c>
      <c r="J92" s="2149" t="s">
        <v>1721</v>
      </c>
      <c r="K92" s="2149" t="s">
        <v>1722</v>
      </c>
      <c r="L92" s="2149" t="s">
        <v>1723</v>
      </c>
      <c r="M92" s="2149" t="s">
        <v>1724</v>
      </c>
      <c r="N92" s="2149" t="s">
        <v>1725</v>
      </c>
    </row>
    <row r="93" spans="1:37" ht="24">
      <c r="A93" s="3069" t="s">
        <v>3270</v>
      </c>
      <c r="B93" s="1221"/>
      <c r="C93" s="1886"/>
      <c r="D93" s="2309">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2053</v>
      </c>
      <c r="B94" s="3070" t="str">
        <f>估价对象房地状况!C18</f>
        <v>估价对象周边道路状况、公共交通通达情况、停车便捷程度，综合评价交通便捷度较好</v>
      </c>
      <c r="C94" s="1886"/>
      <c r="D94" s="2309">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3267</v>
      </c>
      <c r="B95" s="3070">
        <f>估价对象房地状况!C19</f>
        <v>0</v>
      </c>
      <c r="C95" s="1886"/>
      <c r="D95" s="2309">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2054</v>
      </c>
      <c r="B96" s="3085" t="s">
        <v>3283</v>
      </c>
      <c r="C96" s="1886"/>
      <c r="D96" s="2309">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2056</v>
      </c>
      <c r="B97" s="3070">
        <f>估价对象房地状况!C24</f>
        <v>0</v>
      </c>
      <c r="C97" s="1886"/>
      <c r="D97" s="2309">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24">
      <c r="A98" s="3079" t="s">
        <v>2057</v>
      </c>
      <c r="B98" s="3086" t="s">
        <v>3284</v>
      </c>
      <c r="C98" s="1886"/>
      <c r="D98" s="2309">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5.5">
      <c r="A99" s="3079" t="s">
        <v>2059</v>
      </c>
      <c r="B99" s="3070" t="str">
        <f>估价对象房地状况!C21</f>
        <v>估价对象所在区域公共配套设施齐备情况</v>
      </c>
      <c r="C99" s="1886"/>
      <c r="D99" s="2309">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5.5">
      <c r="A100" s="3079" t="s">
        <v>2060</v>
      </c>
      <c r="B100" s="3070" t="str">
        <f>估价对象房地状况!C22</f>
        <v>估价对象所在区域基础设施水平</v>
      </c>
      <c r="C100" s="1886"/>
      <c r="D100" s="2309">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2061</v>
      </c>
      <c r="B101" s="3087" t="str">
        <f>估价对象房地状况!C20</f>
        <v>区域自然环境：；人文环境；综合评价环境状况一般</v>
      </c>
      <c r="C101" s="1886"/>
      <c r="D101" s="2309">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2" t="s">
        <v>3292</v>
      </c>
      <c r="B103" s="3472"/>
      <c r="C103" s="3472"/>
      <c r="D103" s="3472"/>
      <c r="E103" s="3472"/>
      <c r="F103" s="3472"/>
      <c r="G103" s="3472"/>
      <c r="H103" s="3472"/>
      <c r="I103" s="3472"/>
      <c r="J103" s="3472"/>
      <c r="K103" s="1667"/>
      <c r="L103" s="1667"/>
      <c r="M103" s="1667"/>
      <c r="N103" s="1667"/>
    </row>
    <row r="104" spans="1:14">
      <c r="A104" s="3473" t="s">
        <v>3293</v>
      </c>
      <c r="B104" s="3473" t="s">
        <v>3294</v>
      </c>
      <c r="C104" s="3089" t="s">
        <v>3295</v>
      </c>
      <c r="D104" s="3090"/>
      <c r="E104" s="3090"/>
      <c r="F104" s="3090"/>
      <c r="G104" s="3090"/>
      <c r="H104" s="3090"/>
      <c r="I104" s="3090"/>
      <c r="J104" s="3091"/>
      <c r="K104" s="3092"/>
      <c r="L104" s="3092"/>
      <c r="M104" s="3092"/>
      <c r="N104" s="3092"/>
    </row>
    <row r="105" spans="1:14">
      <c r="A105" s="3473"/>
      <c r="B105" s="3473"/>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2" t="s">
        <v>3309</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3310</v>
      </c>
      <c r="B116" s="3113">
        <f>G3</f>
        <v>2.5</v>
      </c>
      <c r="C116" s="3098" t="s">
        <v>3311</v>
      </c>
      <c r="D116" s="3099">
        <f>SUMPRODUCT((A118:A122=F116)*(B117:M117=H116)*B118:M122)</f>
        <v>0.90080000000000005</v>
      </c>
      <c r="E116" s="162" t="s">
        <v>1936</v>
      </c>
      <c r="F116" s="3100" t="str">
        <f>E2</f>
        <v>住宅</v>
      </c>
      <c r="G116" s="162" t="s">
        <v>1937</v>
      </c>
      <c r="H116" s="3100" t="str">
        <f>G2</f>
        <v>七级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1991</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1992</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1993</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2611</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2" priority="6" stopIfTrue="1" operator="notEqual">
      <formula>"——"</formula>
    </cfRule>
  </conditionalFormatting>
  <conditionalFormatting sqref="F61">
    <cfRule type="cellIs" dxfId="51" priority="5" stopIfTrue="1" operator="notEqual">
      <formula>"——"</formula>
    </cfRule>
  </conditionalFormatting>
  <conditionalFormatting sqref="F72">
    <cfRule type="cellIs" dxfId="50" priority="4" stopIfTrue="1" operator="notEqual">
      <formula>"——"</formula>
    </cfRule>
  </conditionalFormatting>
  <conditionalFormatting sqref="F83">
    <cfRule type="cellIs" dxfId="49" priority="3" stopIfTrue="1" operator="notEqual">
      <formula>"——"</formula>
    </cfRule>
  </conditionalFormatting>
  <conditionalFormatting sqref="H50:H58 H61:H69 H72:H80 H83:H91">
    <cfRule type="cellIs" dxfId="48" priority="2" operator="notEqual">
      <formula>"——"</formula>
    </cfRule>
  </conditionalFormatting>
  <conditionalFormatting sqref="H93:H101">
    <cfRule type="cellIs" dxfId="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1"/>
      <c r="B4" s="3181" t="s">
        <v>917</v>
      </c>
      <c r="C4" s="3181"/>
      <c r="D4" s="3181"/>
      <c r="E4" s="1391"/>
    </row>
    <row r="5" spans="1:5" ht="16.5" thickTop="1">
      <c r="B5" s="3179" t="s">
        <v>909</v>
      </c>
      <c r="C5" s="1392" t="s">
        <v>910</v>
      </c>
      <c r="D5" s="797">
        <f ca="1">'结果表-住宅'!H101</f>
        <v>645</v>
      </c>
    </row>
    <row r="6" spans="1:5" ht="15.75">
      <c r="B6" s="3179"/>
      <c r="C6" s="1392" t="s">
        <v>911</v>
      </c>
      <c r="D6" s="797" t="str">
        <f ca="1">NUMBERSTRING(INT(D5*10000),2)&amp;"元整"</f>
        <v>陆佰肆拾伍万元整</v>
      </c>
    </row>
    <row r="7" spans="1:5" ht="15.75">
      <c r="B7" s="3184"/>
      <c r="C7" s="1393" t="s">
        <v>912</v>
      </c>
      <c r="D7" s="798">
        <f ca="1">'结果表-住宅'!H102</f>
        <v>34698</v>
      </c>
    </row>
    <row r="8" spans="1:5" ht="15.75">
      <c r="B8" s="3185" t="str">
        <f>'结果表-住宅'!E103</f>
        <v>2.估价师知悉的法定优先受偿款</v>
      </c>
      <c r="C8" s="1394" t="s">
        <v>913</v>
      </c>
      <c r="D8" s="798">
        <f>'结果表-住宅'!H103</f>
        <v>0</v>
      </c>
    </row>
    <row r="9" spans="1:5" ht="15.75">
      <c r="B9" s="3187"/>
      <c r="C9" s="1392" t="s">
        <v>911</v>
      </c>
      <c r="D9" s="797" t="str">
        <f>NUMBERSTRING(INT(D8*10000),2)&amp;"元整"</f>
        <v>零元整</v>
      </c>
    </row>
    <row r="10" spans="1:5" ht="15">
      <c r="B10" s="1395" t="s">
        <v>916</v>
      </c>
      <c r="C10" s="1396" t="s">
        <v>914</v>
      </c>
      <c r="D10" s="799">
        <f>'结果表-住宅'!H104</f>
        <v>0</v>
      </c>
    </row>
    <row r="11" spans="1:5" ht="15">
      <c r="B11" s="1395" t="s">
        <v>918</v>
      </c>
      <c r="C11" s="1396" t="s">
        <v>919</v>
      </c>
      <c r="D11" s="799">
        <f>'结果表-住宅'!H105</f>
        <v>0</v>
      </c>
    </row>
    <row r="12" spans="1:5" ht="15">
      <c r="B12" s="1395" t="s">
        <v>920</v>
      </c>
      <c r="C12" s="1396" t="s">
        <v>919</v>
      </c>
      <c r="D12" s="799">
        <f>'结果表-住宅'!H106</f>
        <v>0</v>
      </c>
    </row>
    <row r="13" spans="1:5" ht="15.75">
      <c r="B13" s="3178" t="str">
        <f>'结果表-住宅'!E107</f>
        <v>3.房地产抵押价值</v>
      </c>
      <c r="C13" s="1397" t="s">
        <v>910</v>
      </c>
      <c r="D13" s="800">
        <f ca="1">'结果表-住宅'!H107</f>
        <v>645</v>
      </c>
    </row>
    <row r="14" spans="1:5" ht="15.75">
      <c r="B14" s="3179"/>
      <c r="C14" s="1392" t="s">
        <v>911</v>
      </c>
      <c r="D14" s="797" t="str">
        <f ca="1">NUMBERSTRING(INT(D13*10000),2)&amp;"元整"</f>
        <v>陆佰肆拾伍万元整</v>
      </c>
    </row>
    <row r="15" spans="1:5" ht="15">
      <c r="B15" s="3184"/>
      <c r="C15" s="1393" t="s">
        <v>921</v>
      </c>
      <c r="D15" s="806">
        <f ca="1">'结果表-住宅'!H108</f>
        <v>34698</v>
      </c>
    </row>
    <row r="16" spans="1:5" ht="15">
      <c r="B16" s="3185" t="str">
        <f>'结果表-住宅'!E109</f>
        <v>——</v>
      </c>
      <c r="C16" s="1397" t="s">
        <v>922</v>
      </c>
      <c r="D16" s="1398" t="str">
        <f>'结果表-住宅'!H109</f>
        <v>——</v>
      </c>
    </row>
    <row r="17" spans="1:5" ht="15.75">
      <c r="B17" s="3186"/>
      <c r="C17" s="1392" t="s">
        <v>923</v>
      </c>
      <c r="D17" s="797" t="e">
        <f>NUMBERSTRING(INT(D16*10000),2)&amp;"元整"</f>
        <v>#VALUE!</v>
      </c>
    </row>
    <row r="18" spans="1:5" ht="15">
      <c r="B18" s="3187"/>
      <c r="C18" s="1393" t="s">
        <v>912</v>
      </c>
      <c r="D18" s="806" t="str">
        <f>'结果表-住宅'!H110</f>
        <v>——</v>
      </c>
    </row>
    <row r="19" spans="1:5" ht="15.75">
      <c r="B19" s="3178" t="str">
        <f>'结果表-住宅'!E111</f>
        <v>——</v>
      </c>
      <c r="C19" s="1397" t="s">
        <v>910</v>
      </c>
      <c r="D19" s="798" t="str">
        <f>'结果表-住宅'!H111</f>
        <v>——</v>
      </c>
    </row>
    <row r="20" spans="1:5" ht="15.75">
      <c r="B20" s="3179"/>
      <c r="C20" s="1392" t="s">
        <v>923</v>
      </c>
      <c r="D20" s="797" t="e">
        <f>NUMBERSTRING(INT(D19*10000),2)&amp;"元整"</f>
        <v>#VALUE!</v>
      </c>
    </row>
    <row r="21" spans="1:5" ht="15.75" thickBot="1">
      <c r="B21" s="3180"/>
      <c r="C21" s="1399" t="s">
        <v>921</v>
      </c>
      <c r="D21" s="807" t="str">
        <f>'结果表-住宅'!H112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8" t="s">
        <v>1771</v>
      </c>
      <c r="S4" s="3369"/>
      <c r="T4" s="3368" t="s">
        <v>1772</v>
      </c>
      <c r="U4" s="3369"/>
      <c r="V4" s="3391" t="s">
        <v>1773</v>
      </c>
      <c r="W4" s="3391"/>
      <c r="X4" s="1265"/>
      <c r="Y4" s="3368" t="s">
        <v>1775</v>
      </c>
      <c r="Z4" s="3369"/>
      <c r="AA4" s="3363" t="s">
        <v>1771</v>
      </c>
      <c r="AB4" s="3364" t="s">
        <v>1772</v>
      </c>
      <c r="AC4" s="3363" t="s">
        <v>1773</v>
      </c>
    </row>
    <row r="5" spans="1:29" ht="15">
      <c r="A5" s="348"/>
      <c r="B5" s="349"/>
      <c r="C5" s="3440" t="s">
        <v>1673</v>
      </c>
      <c r="D5" s="3441"/>
      <c r="E5" s="3438" t="s">
        <v>1674</v>
      </c>
      <c r="F5" s="3439"/>
      <c r="G5" s="3440" t="s">
        <v>1675</v>
      </c>
      <c r="H5" s="3441"/>
      <c r="I5" s="3440" t="s">
        <v>1676</v>
      </c>
      <c r="J5" s="3441"/>
      <c r="K5" s="537"/>
      <c r="L5" s="2485"/>
      <c r="M5" s="2486"/>
      <c r="N5" s="2486"/>
      <c r="O5" s="2486"/>
      <c r="P5" s="3385"/>
      <c r="Q5" s="3386"/>
      <c r="R5" s="3370"/>
      <c r="S5" s="3371"/>
      <c r="T5" s="3370"/>
      <c r="U5" s="3371"/>
      <c r="V5" s="3391"/>
      <c r="W5" s="3391"/>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5"/>
      <c r="M6" s="2486"/>
      <c r="N6" s="2486"/>
      <c r="O6" s="2486"/>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66" t="s">
        <v>1680</v>
      </c>
      <c r="Q7" s="3392"/>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6"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6"/>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8"/>
      <c r="Q15" s="1263"/>
      <c r="R15" s="667"/>
      <c r="S15" s="668"/>
      <c r="T15" s="667"/>
      <c r="U15" s="668"/>
      <c r="V15" s="667"/>
      <c r="W15" s="668"/>
      <c r="X15" s="1265"/>
      <c r="Y15" s="3398"/>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1"/>
      <c r="M17" s="2486"/>
      <c r="N17" s="2486"/>
      <c r="O17" s="2541"/>
      <c r="P17" s="3398"/>
      <c r="Q17" s="1263"/>
      <c r="R17" s="667"/>
      <c r="S17" s="668"/>
      <c r="T17" s="667"/>
      <c r="U17" s="668"/>
      <c r="V17" s="667"/>
      <c r="W17" s="668"/>
      <c r="X17" s="1265"/>
      <c r="Y17" s="3398"/>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1"/>
      <c r="M19" s="2486"/>
      <c r="N19" s="2486"/>
      <c r="O19" s="2541"/>
      <c r="P19" s="3398"/>
      <c r="Q19" s="1263"/>
      <c r="R19" s="667"/>
      <c r="S19" s="668"/>
      <c r="T19" s="667"/>
      <c r="U19" s="668"/>
      <c r="V19" s="667"/>
      <c r="W19" s="668"/>
      <c r="X19" s="1265"/>
      <c r="Y19" s="3398"/>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96" t="str">
        <f>A35</f>
        <v>成交单价（元/平方米）</v>
      </c>
      <c r="Q35" s="3396"/>
      <c r="R35" s="3391">
        <f>E35</f>
        <v>0</v>
      </c>
      <c r="S35" s="3391"/>
      <c r="T35" s="3391">
        <f>G35</f>
        <v>0</v>
      </c>
      <c r="U35" s="3391"/>
      <c r="V35" s="3391">
        <f>I35</f>
        <v>0</v>
      </c>
      <c r="W35" s="3391"/>
      <c r="X35" s="385"/>
      <c r="Y35" s="673"/>
      <c r="Z35" s="385"/>
      <c r="AA35" s="385"/>
      <c r="AB35" s="385"/>
      <c r="AC35" s="385"/>
    </row>
    <row r="36" spans="1:30" ht="15.75" thickBot="1">
      <c r="A36" s="423" t="s">
        <v>1793</v>
      </c>
      <c r="B36" s="424"/>
      <c r="C36" s="1082" t="e">
        <f>R37</f>
        <v>#DIV/0!</v>
      </c>
      <c r="D36" s="2140" t="s">
        <v>2137</v>
      </c>
      <c r="E36" s="1083" t="e">
        <f>R36</f>
        <v>#DIV/0!</v>
      </c>
      <c r="F36" s="2141"/>
      <c r="G36" s="1082" t="e">
        <f>T36</f>
        <v>#DIV/0!</v>
      </c>
      <c r="H36" s="2141"/>
      <c r="I36" s="1083" t="e">
        <f>V36</f>
        <v>#DIV/0!</v>
      </c>
      <c r="J36" s="2141"/>
      <c r="K36" s="2143">
        <f>F36+H36+J36</f>
        <v>0</v>
      </c>
      <c r="L36" s="2493"/>
      <c r="M36" s="2486"/>
      <c r="N36" s="2486"/>
      <c r="O36" s="2486"/>
      <c r="P36" s="3396" t="str">
        <f>A36</f>
        <v>比较价值（元/平方米）</v>
      </c>
      <c r="Q36" s="339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3" t="str">
        <f>A37</f>
        <v>估价对象XX用房的比较价值（楼面单价，元/平方米）</v>
      </c>
      <c r="Q37" s="3394"/>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8" t="s">
        <v>1771</v>
      </c>
      <c r="S4" s="3369"/>
      <c r="T4" s="3368" t="s">
        <v>1772</v>
      </c>
      <c r="U4" s="3369"/>
      <c r="V4" s="3391" t="s">
        <v>1773</v>
      </c>
      <c r="W4" s="3391"/>
      <c r="X4" s="1265"/>
      <c r="Y4" s="3368" t="s">
        <v>1775</v>
      </c>
      <c r="Z4" s="3369"/>
      <c r="AA4" s="3363" t="s">
        <v>1771</v>
      </c>
      <c r="AB4" s="3364" t="s">
        <v>1772</v>
      </c>
      <c r="AC4" s="3363" t="s">
        <v>1773</v>
      </c>
    </row>
    <row r="5" spans="1:29" ht="15">
      <c r="A5" s="348"/>
      <c r="B5" s="349"/>
      <c r="C5" s="3440" t="s">
        <v>1673</v>
      </c>
      <c r="D5" s="3441"/>
      <c r="E5" s="3438" t="s">
        <v>1674</v>
      </c>
      <c r="F5" s="3439"/>
      <c r="G5" s="3440" t="s">
        <v>1675</v>
      </c>
      <c r="H5" s="3441"/>
      <c r="I5" s="3440" t="s">
        <v>1676</v>
      </c>
      <c r="J5" s="3441"/>
      <c r="K5" s="537"/>
      <c r="L5" s="2485"/>
      <c r="M5" s="2486"/>
      <c r="N5" s="2486"/>
      <c r="O5" s="2486"/>
      <c r="P5" s="3385"/>
      <c r="Q5" s="3386"/>
      <c r="R5" s="3370"/>
      <c r="S5" s="3371"/>
      <c r="T5" s="3370"/>
      <c r="U5" s="3371"/>
      <c r="V5" s="3391"/>
      <c r="W5" s="3391"/>
      <c r="X5" s="1265"/>
      <c r="Y5" s="3370"/>
      <c r="Z5" s="3371"/>
      <c r="AA5" s="3364"/>
      <c r="AB5" s="3364"/>
      <c r="AC5" s="3364"/>
    </row>
    <row r="6" spans="1:29" ht="15.75" thickBot="1">
      <c r="A6" s="350"/>
      <c r="B6" s="351"/>
      <c r="C6" s="3374" t="s">
        <v>1677</v>
      </c>
      <c r="D6" s="3375"/>
      <c r="E6" s="3376" t="s">
        <v>1677</v>
      </c>
      <c r="F6" s="3377"/>
      <c r="G6" s="3374" t="s">
        <v>1677</v>
      </c>
      <c r="H6" s="3375"/>
      <c r="I6" s="3374" t="s">
        <v>1677</v>
      </c>
      <c r="J6" s="3375"/>
      <c r="K6" s="537" t="s">
        <v>1678</v>
      </c>
      <c r="L6" s="2485"/>
      <c r="M6" s="2486"/>
      <c r="N6" s="2486"/>
      <c r="O6" s="2486"/>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66" t="s">
        <v>1680</v>
      </c>
      <c r="Q7" s="3392"/>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88"/>
      <c r="M10" s="2489"/>
      <c r="N10" s="2489"/>
      <c r="O10" s="2540"/>
      <c r="P10" s="3396"/>
      <c r="Q10" s="530" t="str">
        <f t="shared" si="6"/>
        <v>土地使用年限（年）</v>
      </c>
      <c r="R10" s="664" t="s">
        <v>14</v>
      </c>
      <c r="S10" s="665">
        <f t="shared" si="0"/>
        <v>103</v>
      </c>
      <c r="T10" s="664" t="s">
        <v>14</v>
      </c>
      <c r="U10" s="665">
        <f t="shared" si="1"/>
        <v>103</v>
      </c>
      <c r="V10" s="664" t="s">
        <v>14</v>
      </c>
      <c r="W10" s="665">
        <f t="shared" si="2"/>
        <v>103</v>
      </c>
      <c r="X10" s="666"/>
      <c r="Y10" s="3336"/>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6"/>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1"/>
      <c r="M20" s="2486"/>
      <c r="N20" s="2486"/>
      <c r="O20" s="2541"/>
      <c r="P20" s="3398"/>
      <c r="Q20" s="1263"/>
      <c r="R20" s="667"/>
      <c r="S20" s="668"/>
      <c r="T20" s="667"/>
      <c r="U20" s="668"/>
      <c r="V20" s="667"/>
      <c r="W20" s="668"/>
      <c r="X20" s="1265"/>
      <c r="Y20" s="3398"/>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1"/>
      <c r="M24" s="2486"/>
      <c r="N24" s="2486"/>
      <c r="O24" s="2541"/>
      <c r="P24" s="3398"/>
      <c r="Q24" s="1263"/>
      <c r="R24" s="667"/>
      <c r="S24" s="668"/>
      <c r="T24" s="667"/>
      <c r="U24" s="668"/>
      <c r="V24" s="667"/>
      <c r="W24" s="668"/>
      <c r="X24" s="1265"/>
      <c r="Y24" s="3398"/>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1"/>
      <c r="M26" s="2486"/>
      <c r="N26" s="2486"/>
      <c r="O26" s="2541"/>
      <c r="P26" s="3398"/>
      <c r="Q26" s="1263"/>
      <c r="R26" s="667"/>
      <c r="S26" s="668"/>
      <c r="T26" s="667"/>
      <c r="U26" s="668"/>
      <c r="V26" s="667"/>
      <c r="W26" s="668"/>
      <c r="X26" s="1265"/>
      <c r="Y26" s="3398"/>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7"/>
      <c r="M28" s="2439"/>
      <c r="N28" s="2439"/>
      <c r="O28" s="2539"/>
      <c r="P28" s="3398"/>
      <c r="Q28" s="530"/>
      <c r="R28" s="664"/>
      <c r="S28" s="665"/>
      <c r="T28" s="664"/>
      <c r="U28" s="665"/>
      <c r="V28" s="664"/>
      <c r="W28" s="665"/>
      <c r="X28" s="666"/>
      <c r="Y28" s="3398"/>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9"/>
      <c r="N30" s="2439"/>
      <c r="O30" s="2539"/>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1"/>
      <c r="M33" s="2486"/>
      <c r="N33" s="2486"/>
      <c r="O33" s="2541"/>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7"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3"/>
      <c r="M46" s="2486"/>
      <c r="N46" s="2486"/>
      <c r="O46" s="2486"/>
      <c r="P46" s="3396" t="str">
        <f>A46</f>
        <v>成交单价</v>
      </c>
      <c r="Q46" s="3396"/>
      <c r="R46" s="3391">
        <f>E46</f>
        <v>0</v>
      </c>
      <c r="S46" s="3391"/>
      <c r="T46" s="3391">
        <f>G46</f>
        <v>0</v>
      </c>
      <c r="U46" s="3391"/>
      <c r="V46" s="3391">
        <f>I46</f>
        <v>0</v>
      </c>
      <c r="W46" s="3391"/>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3"/>
      <c r="M47" s="2486"/>
      <c r="N47" s="2486"/>
      <c r="O47" s="2486"/>
      <c r="P47" s="3396" t="str">
        <f>A47</f>
        <v>比较价值（元/平方米）</v>
      </c>
      <c r="Q47" s="3396"/>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3" t="str">
        <f>A48</f>
        <v>估价对象XX用房的比较价值（楼面单价，元/平方米）</v>
      </c>
      <c r="Q48" s="3394"/>
      <c r="R48" s="3479" t="e">
        <f>ROUND(IF(D47="简单平均",AVERAGE(R47:W47),R47*F47+T47*H47+V47*J47),0)</f>
        <v>#DIV/0!</v>
      </c>
      <c r="S48" s="3479"/>
      <c r="T48" s="3479"/>
      <c r="U48" s="3479"/>
      <c r="V48" s="3479"/>
      <c r="W48" s="347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79" t="s">
        <v>1887</v>
      </c>
      <c r="H55" s="3480"/>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185.94</v>
      </c>
      <c r="F56" s="833" t="e">
        <f t="shared" ref="F56:F64" si="15">ROUND(B56*E56/10000,0)</f>
        <v>#DIV/0!</v>
      </c>
      <c r="G56" s="3378"/>
      <c r="H56" s="339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30.74</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216.68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"北京市平均增长率"&amp;TEXT(SUMIF('基准地价修正-住宅'!N25:N29,A70,'基准地价修正-住宅'!P25:P29),"0.00%")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68" t="s">
        <v>1771</v>
      </c>
      <c r="S4" s="3369"/>
      <c r="T4" s="3368" t="s">
        <v>1772</v>
      </c>
      <c r="U4" s="3369"/>
      <c r="V4" s="3391" t="s">
        <v>1773</v>
      </c>
      <c r="W4" s="3391"/>
      <c r="X4" s="1265"/>
      <c r="Y4" s="3368" t="s">
        <v>1775</v>
      </c>
      <c r="Z4" s="3369"/>
      <c r="AA4" s="3363" t="s">
        <v>1771</v>
      </c>
      <c r="AB4" s="3364" t="s">
        <v>1772</v>
      </c>
      <c r="AC4" s="3363" t="s">
        <v>1773</v>
      </c>
    </row>
    <row r="5" spans="1:29" ht="15">
      <c r="A5" s="348"/>
      <c r="B5" s="349"/>
      <c r="C5" s="3440" t="s">
        <v>1673</v>
      </c>
      <c r="D5" s="3441"/>
      <c r="E5" s="3438" t="s">
        <v>1674</v>
      </c>
      <c r="F5" s="3439"/>
      <c r="G5" s="3440" t="s">
        <v>1675</v>
      </c>
      <c r="H5" s="3441"/>
      <c r="I5" s="3440" t="s">
        <v>1676</v>
      </c>
      <c r="J5" s="3441"/>
      <c r="K5" s="537"/>
      <c r="L5" s="2485"/>
      <c r="M5" s="2486"/>
      <c r="N5" s="2486"/>
      <c r="O5" s="2486"/>
      <c r="P5" s="3385"/>
      <c r="Q5" s="3386"/>
      <c r="R5" s="3370"/>
      <c r="S5" s="3371"/>
      <c r="T5" s="3370"/>
      <c r="U5" s="3371"/>
      <c r="V5" s="3391"/>
      <c r="W5" s="3391"/>
      <c r="X5" s="1265"/>
      <c r="Y5" s="3370"/>
      <c r="Z5" s="3371"/>
      <c r="AA5" s="3364"/>
      <c r="AB5" s="3364"/>
      <c r="AC5" s="3364"/>
    </row>
    <row r="6" spans="1:29" ht="15.75" thickBot="1">
      <c r="A6" s="350"/>
      <c r="B6" s="351"/>
      <c r="C6" s="3481" t="s">
        <v>1919</v>
      </c>
      <c r="D6" s="3482"/>
      <c r="E6" s="3483" t="s">
        <v>1919</v>
      </c>
      <c r="F6" s="3484"/>
      <c r="G6" s="3481" t="s">
        <v>1919</v>
      </c>
      <c r="H6" s="3482"/>
      <c r="I6" s="3481" t="s">
        <v>1919</v>
      </c>
      <c r="J6" s="3482"/>
      <c r="K6" s="537" t="s">
        <v>1678</v>
      </c>
      <c r="L6" s="2485"/>
      <c r="M6" s="2486"/>
      <c r="N6" s="2486"/>
      <c r="O6" s="2486"/>
      <c r="P6" s="3387"/>
      <c r="Q6" s="3388"/>
      <c r="R6" s="3370"/>
      <c r="S6" s="3371"/>
      <c r="T6" s="3389"/>
      <c r="U6" s="3390"/>
      <c r="V6" s="3391"/>
      <c r="W6" s="3391"/>
      <c r="X6" s="1265"/>
      <c r="Y6" s="3389"/>
      <c r="Z6" s="3390"/>
      <c r="AA6" s="3365"/>
      <c r="AB6" s="3365"/>
      <c r="AC6" s="3365"/>
    </row>
    <row r="7" spans="1:29" s="102" customFormat="1" ht="15.75" thickBot="1">
      <c r="A7" s="352" t="s">
        <v>1679</v>
      </c>
      <c r="B7" s="353"/>
      <c r="C7" s="354">
        <f>'数据-取费表'!B2</f>
        <v>45824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66" t="s">
        <v>1680</v>
      </c>
      <c r="Q7" s="3392"/>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88"/>
      <c r="M10" s="2489"/>
      <c r="N10" s="2489"/>
      <c r="O10" s="2540"/>
      <c r="P10" s="3396"/>
      <c r="Q10" s="530" t="str">
        <f t="shared" si="6"/>
        <v>土地使用年限（年）</v>
      </c>
      <c r="R10" s="664" t="s">
        <v>14</v>
      </c>
      <c r="S10" s="665">
        <f t="shared" si="0"/>
        <v>103</v>
      </c>
      <c r="T10" s="664" t="s">
        <v>14</v>
      </c>
      <c r="U10" s="665">
        <f t="shared" si="1"/>
        <v>103</v>
      </c>
      <c r="V10" s="664" t="s">
        <v>14</v>
      </c>
      <c r="W10" s="665">
        <f t="shared" si="2"/>
        <v>103</v>
      </c>
      <c r="X10" s="666"/>
      <c r="Y10" s="3336"/>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1"/>
      <c r="M16" s="2486"/>
      <c r="N16" s="2486"/>
      <c r="O16" s="2541"/>
      <c r="P16" s="3398"/>
      <c r="Q16" s="1263"/>
      <c r="R16" s="667"/>
      <c r="S16" s="668"/>
      <c r="T16" s="667"/>
      <c r="U16" s="668"/>
      <c r="V16" s="667"/>
      <c r="W16" s="668"/>
      <c r="X16" s="1265"/>
      <c r="Y16" s="3398"/>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1"/>
      <c r="M18" s="2486"/>
      <c r="N18" s="2486"/>
      <c r="O18" s="2541"/>
      <c r="P18" s="3398"/>
      <c r="Q18" s="1263"/>
      <c r="R18" s="667"/>
      <c r="S18" s="668"/>
      <c r="T18" s="667"/>
      <c r="U18" s="668"/>
      <c r="V18" s="667"/>
      <c r="W18" s="668"/>
      <c r="X18" s="1265"/>
      <c r="Y18" s="3398"/>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1"/>
      <c r="M20" s="2486"/>
      <c r="N20" s="2486"/>
      <c r="O20" s="2541"/>
      <c r="P20" s="3398"/>
      <c r="Q20" s="1263"/>
      <c r="R20" s="667"/>
      <c r="S20" s="668"/>
      <c r="T20" s="667"/>
      <c r="U20" s="668"/>
      <c r="V20" s="667"/>
      <c r="W20" s="668"/>
      <c r="X20" s="1265"/>
      <c r="Y20" s="3398"/>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1"/>
      <c r="M22" s="2486"/>
      <c r="N22" s="2486"/>
      <c r="O22" s="2541"/>
      <c r="P22" s="3398"/>
      <c r="Q22" s="1263"/>
      <c r="R22" s="667"/>
      <c r="S22" s="668"/>
      <c r="T22" s="667"/>
      <c r="U22" s="668"/>
      <c r="V22" s="667"/>
      <c r="W22" s="668"/>
      <c r="X22" s="1265"/>
      <c r="Y22" s="3398"/>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7"/>
      <c r="M24" s="2439"/>
      <c r="N24" s="2439"/>
      <c r="O24" s="2539"/>
      <c r="P24" s="3398"/>
      <c r="Q24" s="530"/>
      <c r="R24" s="664"/>
      <c r="S24" s="665"/>
      <c r="T24" s="664"/>
      <c r="U24" s="665"/>
      <c r="V24" s="664"/>
      <c r="W24" s="665"/>
      <c r="X24" s="666"/>
      <c r="Y24" s="3398"/>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9"/>
      <c r="N26" s="2439"/>
      <c r="O26" s="2539"/>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1"/>
      <c r="M29" s="2486"/>
      <c r="N29" s="2486"/>
      <c r="O29" s="2541"/>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7"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3"/>
      <c r="M41" s="2486"/>
      <c r="N41" s="2486"/>
      <c r="O41" s="2486"/>
      <c r="P41" s="3396" t="str">
        <f>A41</f>
        <v>成交单价</v>
      </c>
      <c r="Q41" s="3396"/>
      <c r="R41" s="3391">
        <f>E41</f>
        <v>0</v>
      </c>
      <c r="S41" s="3391"/>
      <c r="T41" s="3391">
        <f>G41</f>
        <v>0</v>
      </c>
      <c r="U41" s="3391"/>
      <c r="V41" s="3391">
        <f>I41</f>
        <v>0</v>
      </c>
      <c r="W41" s="3391"/>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3"/>
      <c r="M42" s="2486"/>
      <c r="N42" s="2486"/>
      <c r="O42" s="2486"/>
      <c r="P42" s="3396" t="str">
        <f>A42</f>
        <v>比较价值（元/平方米）</v>
      </c>
      <c r="Q42" s="3396"/>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3" t="str">
        <f>A43</f>
        <v>估价对象XX用房的比较价值（楼面单价，元/平方米）</v>
      </c>
      <c r="Q43" s="3394"/>
      <c r="R43" s="3479" t="e">
        <f>ROUND(IF(D42="简单平均",AVERAGE(R42:W42),R42*F42+T42*H42+V42*J42),0)</f>
        <v>#DIV/0!</v>
      </c>
      <c r="S43" s="3479"/>
      <c r="T43" s="3479"/>
      <c r="U43" s="3479"/>
      <c r="V43" s="3479"/>
      <c r="W43" s="347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79" t="s">
        <v>1887</v>
      </c>
      <c r="H50" s="3480"/>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185.94</v>
      </c>
      <c r="F51" s="611" t="e">
        <f t="shared" ref="F51:F60" si="15">ROUND(B51*E51/10000,0)</f>
        <v>#DIV/0!</v>
      </c>
      <c r="G51" s="3378"/>
      <c r="H51" s="339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30.74</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"北京市平均增长率"&amp;TEXT('基准地价修正-住宅'!P28,"0.00%")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G13" sqref="G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3481</v>
      </c>
      <c r="D1" s="1271" t="s">
        <v>43</v>
      </c>
      <c r="E1" s="1272" t="s">
        <v>678</v>
      </c>
      <c r="F1" s="999">
        <f ca="1">J53</f>
        <v>40.159999999999997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v>
      </c>
      <c r="C2" s="1289" t="s">
        <v>805</v>
      </c>
      <c r="D2" s="1289"/>
      <c r="E2" s="1295"/>
      <c r="F2" s="1296"/>
      <c r="G2" s="2477"/>
      <c r="H2" s="2467"/>
      <c r="I2" s="2467"/>
      <c r="J2" s="2467"/>
      <c r="K2" s="2468"/>
      <c r="L2" s="2467"/>
      <c r="M2" s="2467"/>
    </row>
    <row r="3" spans="1:37" ht="18" customHeight="1" thickBot="1">
      <c r="A3" s="1297" t="s">
        <v>806</v>
      </c>
      <c r="B3" s="1298">
        <f ca="1">IF(ISERROR(B2*10000/F43),0,ROUND(B2*10000/F43,0))</f>
        <v>325</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8" t="s">
        <v>694</v>
      </c>
      <c r="C6" s="1011">
        <f ca="1">ROUND(F6*F8*F7*(1-F9)/10000,0)</f>
        <v>0</v>
      </c>
      <c r="D6" s="147" t="s">
        <v>2108</v>
      </c>
      <c r="E6" s="294" t="s">
        <v>696</v>
      </c>
      <c r="F6" s="295">
        <f ca="1">INDIRECT("'数据-取费表'!u"&amp;$G$1)</f>
        <v>450</v>
      </c>
      <c r="G6" s="1292"/>
      <c r="H6" s="1006" t="s">
        <v>398</v>
      </c>
      <c r="I6" s="3408" t="s">
        <v>694</v>
      </c>
      <c r="J6" s="293">
        <f ca="1">ROUND(M6*M8*M7*(1-M9)/10000,0)</f>
        <v>0</v>
      </c>
      <c r="K6" s="147" t="s">
        <v>2107</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1</v>
      </c>
      <c r="G7" s="1292"/>
      <c r="H7" s="296"/>
      <c r="I7" s="3409"/>
      <c r="J7" s="298"/>
      <c r="K7" s="299"/>
      <c r="L7" s="294" t="s">
        <v>697</v>
      </c>
      <c r="M7" s="295">
        <f ca="1">F7</f>
        <v>1</v>
      </c>
    </row>
    <row r="8" spans="1:37" ht="18" customHeight="1">
      <c r="A8" s="296"/>
      <c r="B8" s="3409"/>
      <c r="C8" s="298"/>
      <c r="D8" s="299"/>
      <c r="E8" s="294" t="s">
        <v>698</v>
      </c>
      <c r="F8" s="295">
        <f ca="1">INDIRECT("'数据-取费表'!ai"&amp;$G$1)</f>
        <v>12</v>
      </c>
      <c r="G8" s="1292"/>
      <c r="H8" s="296"/>
      <c r="I8" s="3409"/>
      <c r="J8" s="298"/>
      <c r="K8" s="299"/>
      <c r="L8" s="294" t="s">
        <v>698</v>
      </c>
      <c r="M8" s="295">
        <f ca="1">INDIRECT("'数据-取费表'!ai"&amp;$G$1)</f>
        <v>12</v>
      </c>
    </row>
    <row r="9" spans="1:37" ht="18" customHeight="1">
      <c r="A9" s="296"/>
      <c r="B9" s="3410"/>
      <c r="C9" s="298"/>
      <c r="D9" s="299"/>
      <c r="E9" s="294" t="s">
        <v>699</v>
      </c>
      <c r="F9" s="304">
        <f ca="1">INDIRECT("'数据-取费表'!w"&amp;$G$1)</f>
        <v>0.1</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3508</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18</v>
      </c>
      <c r="D14" s="1257" t="s">
        <v>708</v>
      </c>
      <c r="E14" s="1255"/>
      <c r="F14" s="311"/>
      <c r="G14" s="1292"/>
      <c r="H14" s="928" t="s">
        <v>398</v>
      </c>
      <c r="I14" s="294" t="s">
        <v>709</v>
      </c>
      <c r="J14" s="21">
        <f ca="1">C29</f>
        <v>24</v>
      </c>
      <c r="K14" s="12"/>
      <c r="L14" s="759"/>
      <c r="M14" s="760"/>
    </row>
    <row r="15" spans="1:37" s="1304" customFormat="1" ht="18" customHeight="1" thickBot="1">
      <c r="A15" s="928" t="s">
        <v>399</v>
      </c>
      <c r="B15" s="294" t="s">
        <v>710</v>
      </c>
      <c r="C15" s="21">
        <f ca="1">ROUND(C14*F15,0)</f>
        <v>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1</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1</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v>
      </c>
      <c r="D29" s="1029"/>
      <c r="E29" s="1027"/>
      <c r="F29" s="1030"/>
      <c r="G29" s="1303"/>
      <c r="H29" s="325" t="s">
        <v>396</v>
      </c>
      <c r="I29" s="326" t="s">
        <v>768</v>
      </c>
      <c r="J29" s="327">
        <f ca="1">ROUND(J26/(1+F40)^F41,0)</f>
        <v>0</v>
      </c>
      <c r="K29" s="328" t="s">
        <v>769</v>
      </c>
      <c r="L29" s="329"/>
      <c r="M29" s="330">
        <f ca="1">INDIRECT("'数据-取费表'!k"&amp;$G$1)</f>
        <v>30.74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0.24</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0.02</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ROUND(C5*F38,2)</f>
        <v>0</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0</v>
      </c>
      <c r="D39" s="1032" t="s">
        <v>753</v>
      </c>
      <c r="E39" s="1033"/>
      <c r="F39" s="1034"/>
      <c r="G39" s="1292"/>
      <c r="H39" s="2472"/>
      <c r="I39" s="1305"/>
      <c r="J39" s="1306"/>
      <c r="K39" s="2470"/>
      <c r="L39" s="2472"/>
      <c r="M39" s="2472"/>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40.159999999999997</v>
      </c>
      <c r="G41" s="1292"/>
      <c r="H41" s="121" t="e">
        <f ca="1">C39/C5</f>
        <v>#DIV/0!</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ROUND(C40*10000/F43,0)</f>
        <v>0</v>
      </c>
      <c r="D43" s="328" t="s">
        <v>777</v>
      </c>
      <c r="E43" s="329" t="s">
        <v>778</v>
      </c>
      <c r="F43" s="330">
        <f ca="1">INDIRECT("'数据-取费表'!k"&amp;$G$1)</f>
        <v>30.74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f ca="1">IF(M47="住宅",0,IF(L48&gt;J51,L60,J60))</f>
        <v>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3490</v>
      </c>
      <c r="K47" s="1323" t="s">
        <v>816</v>
      </c>
      <c r="L47" s="1324">
        <f ca="1">INDIRECT("'数据-取费表'!d"&amp;$G$1)</f>
        <v>50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3491</v>
      </c>
      <c r="K48" s="1330" t="s">
        <v>820</v>
      </c>
      <c r="L48" s="1331">
        <f ca="1">INDIRECT("'数据-取费表'!f"&amp;$G$1)</f>
        <v>40.159999999999997</v>
      </c>
      <c r="O48" s="1325" t="s">
        <v>404</v>
      </c>
      <c r="P48" s="1326" t="s">
        <v>821</v>
      </c>
      <c r="Q48" s="1327">
        <f ca="1">J60</f>
        <v>1</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f>'数据-取费表'!N17</f>
        <v>2015</v>
      </c>
      <c r="K49" s="1330" t="s">
        <v>824</v>
      </c>
      <c r="L49" s="1333"/>
      <c r="O49" s="1334" t="s">
        <v>405</v>
      </c>
      <c r="P49" s="1326" t="s">
        <v>825</v>
      </c>
      <c r="Q49" s="1327">
        <f ca="1">C29</f>
        <v>24</v>
      </c>
      <c r="R49" s="1327" t="s">
        <v>818</v>
      </c>
    </row>
    <row r="50" spans="1:18" s="1292" customFormat="1" ht="13.5"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-26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40.159999999999997</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40.159999999999997</v>
      </c>
      <c r="K53" s="3406" t="s">
        <v>837</v>
      </c>
      <c r="L53" s="3407"/>
      <c r="O53" s="1325" t="s">
        <v>409</v>
      </c>
      <c r="P53" s="1326" t="s">
        <v>838</v>
      </c>
      <c r="Q53" s="1327">
        <f ca="1">Q47+Q48</f>
        <v>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20</v>
      </c>
      <c r="D56" s="1352"/>
      <c r="E56" s="1353"/>
      <c r="F56" s="1345"/>
      <c r="I56" s="1354" t="s">
        <v>842</v>
      </c>
      <c r="J56" s="1355" t="s">
        <v>3492</v>
      </c>
      <c r="K56" s="1328" t="s">
        <v>843</v>
      </c>
      <c r="L56" s="1331" t="str">
        <f ca="1">IF(L48&lt;J51,"——",L48-J53)</f>
        <v>——</v>
      </c>
      <c r="O56" s="1325" t="s">
        <v>403</v>
      </c>
      <c r="P56" s="1326" t="s">
        <v>817</v>
      </c>
      <c r="Q56" s="1327">
        <f ca="1">C40+J29</f>
        <v>0</v>
      </c>
      <c r="R56" s="1327" t="s">
        <v>818</v>
      </c>
    </row>
    <row r="57" spans="1:18" s="1292" customFormat="1" ht="24.75" thickBot="1">
      <c r="A57" s="1356"/>
      <c r="B57" s="896" t="s">
        <v>767</v>
      </c>
      <c r="C57" s="230">
        <f ca="1">C29</f>
        <v>24</v>
      </c>
      <c r="D57" s="1357"/>
      <c r="E57" s="1358"/>
      <c r="F57" s="1359"/>
      <c r="I57" s="1360" t="s">
        <v>844</v>
      </c>
      <c r="J57" s="1361">
        <f ca="1">IF(OR(M47="住宅",J51&lt;L48,J56="是"),"——",J51-L48)</f>
        <v>9.8400000000000034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3334</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f ca="1">Q56+Q57</f>
        <v>0</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0.24</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0.02</v>
      </c>
      <c r="D65" s="910" t="s">
        <v>743</v>
      </c>
      <c r="E65" s="896" t="s">
        <v>712</v>
      </c>
      <c r="F65" s="321">
        <f t="shared" ca="1" si="0"/>
        <v>1E-3</v>
      </c>
      <c r="I65" s="1367" t="s">
        <v>867</v>
      </c>
      <c r="J65" s="610">
        <v>40</v>
      </c>
      <c r="K65" s="610">
        <v>30</v>
      </c>
      <c r="L65" s="610">
        <v>50</v>
      </c>
      <c r="M65" s="1369">
        <v>0.02</v>
      </c>
      <c r="O65" s="1325" t="s">
        <v>403</v>
      </c>
      <c r="P65" s="1326" t="s">
        <v>817</v>
      </c>
      <c r="Q65" s="1327">
        <f ca="1">C40+J29</f>
        <v>0</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-26</v>
      </c>
      <c r="R67" s="1327" t="s">
        <v>870</v>
      </c>
    </row>
    <row r="68" spans="1:18" s="1292" customFormat="1" ht="16.5" thickBot="1">
      <c r="A68" s="893" t="s">
        <v>395</v>
      </c>
      <c r="B68" s="894" t="s">
        <v>774</v>
      </c>
      <c r="C68" s="293">
        <f ca="1">ROUND(C67*(1-((1+F70)/(1+F68))^F69)/(F68-F70),0)</f>
        <v>0</v>
      </c>
      <c r="D68" s="911" t="s">
        <v>758</v>
      </c>
      <c r="E68" s="896" t="s">
        <v>759</v>
      </c>
      <c r="F68" s="304">
        <f ca="1">F40</f>
        <v>5.5E-2</v>
      </c>
      <c r="O68" s="1334" t="s">
        <v>406</v>
      </c>
      <c r="P68" s="1371" t="s">
        <v>871</v>
      </c>
      <c r="Q68" s="1327">
        <f ca="1">ROUND(Q69-Q70*Q71,0)</f>
        <v>-1</v>
      </c>
      <c r="R68" s="1327" t="s">
        <v>414</v>
      </c>
    </row>
    <row r="69" spans="1:18" s="1292" customFormat="1" ht="13.5" thickBot="1">
      <c r="A69" s="897"/>
      <c r="B69" s="898"/>
      <c r="C69" s="298"/>
      <c r="D69" s="916" t="s">
        <v>762</v>
      </c>
      <c r="E69" s="896" t="s">
        <v>763</v>
      </c>
      <c r="F69" s="324">
        <f ca="1">F41</f>
        <v>40.159999999999997</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20</v>
      </c>
      <c r="R70" s="1327" t="s">
        <v>818</v>
      </c>
    </row>
    <row r="71" spans="1:18" s="1292" customFormat="1" ht="13.5" thickBot="1">
      <c r="A71" s="917" t="s">
        <v>396</v>
      </c>
      <c r="B71" s="918" t="s">
        <v>776</v>
      </c>
      <c r="C71" s="327">
        <f ca="1">ROUND(C68*10000/F71,0)</f>
        <v>0</v>
      </c>
      <c r="D71" s="919" t="s">
        <v>777</v>
      </c>
      <c r="E71" s="920" t="s">
        <v>778</v>
      </c>
      <c r="F71" s="330">
        <f ca="1">F43</f>
        <v>30.74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3" t="s">
        <v>2073</v>
      </c>
      <c r="B2" s="2387">
        <f ca="1">SUMIF(B6:B13,"&lt;&gt;#ref!",B6:B13)</f>
        <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#REF!</v>
      </c>
      <c r="C6" s="1983" t="s">
        <v>2074</v>
      </c>
      <c r="D6" s="2543"/>
      <c r="E6" s="2397" t="e">
        <f ca="1">SUMIF(INDIRECT("'"&amp;A6&amp;"'"&amp;"!C:C"),"建筑面积",INDIRECT("'"&amp;A6&amp;"'"&amp;"!D:D"))</f>
        <v>#REF!</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92" t="s">
        <v>2606</v>
      </c>
      <c r="B20" s="3485" t="s">
        <v>2627</v>
      </c>
      <c r="C20" s="2841" t="s">
        <v>2438</v>
      </c>
      <c r="D20" s="2842"/>
      <c r="E20" s="2843">
        <v>1</v>
      </c>
      <c r="F20" s="2844" t="s">
        <v>2439</v>
      </c>
      <c r="G20" s="2844"/>
    </row>
    <row r="21" spans="1:13" ht="19.5" customHeight="1">
      <c r="A21" s="3493"/>
      <c r="B21" s="3486"/>
      <c r="C21" s="2845" t="s">
        <v>2440</v>
      </c>
      <c r="D21" s="2846"/>
      <c r="E21" s="2847">
        <v>1</v>
      </c>
      <c r="F21" s="2844" t="s">
        <v>2441</v>
      </c>
      <c r="G21" s="2844"/>
    </row>
    <row r="22" spans="1:13" ht="19.5" customHeight="1">
      <c r="A22" s="3493"/>
      <c r="B22" s="3486"/>
      <c r="C22" s="2845" t="s">
        <v>2442</v>
      </c>
      <c r="D22" s="2846"/>
      <c r="E22" s="2847">
        <v>0.9</v>
      </c>
      <c r="F22" s="2844" t="s">
        <v>2443</v>
      </c>
      <c r="G22" s="2844"/>
    </row>
    <row r="23" spans="1:13" ht="19.5" customHeight="1">
      <c r="A23" s="3493"/>
      <c r="B23" s="3486"/>
      <c r="C23" s="2845" t="s">
        <v>2444</v>
      </c>
      <c r="D23" s="2846"/>
      <c r="E23" s="2847">
        <v>0.9</v>
      </c>
      <c r="F23" s="2844" t="s">
        <v>2445</v>
      </c>
      <c r="G23" s="2844"/>
    </row>
    <row r="24" spans="1:13" ht="19.5" customHeight="1">
      <c r="A24" s="3493"/>
      <c r="B24" s="3486"/>
      <c r="C24" s="2845" t="s">
        <v>2446</v>
      </c>
      <c r="D24" s="2846"/>
      <c r="E24" s="2847">
        <v>0.8</v>
      </c>
      <c r="F24" s="2844" t="s">
        <v>2447</v>
      </c>
      <c r="G24" s="2844"/>
    </row>
    <row r="25" spans="1:13" ht="19.5" customHeight="1" thickBot="1">
      <c r="A25" s="3494"/>
      <c r="B25" s="3487"/>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8" t="s">
        <v>2630</v>
      </c>
      <c r="B27" s="3485" t="s">
        <v>2611</v>
      </c>
      <c r="C27" s="2841" t="s">
        <v>2451</v>
      </c>
      <c r="D27" s="2842"/>
      <c r="E27" s="2843">
        <v>1</v>
      </c>
      <c r="F27" s="2844" t="s">
        <v>2452</v>
      </c>
      <c r="G27" s="2844"/>
    </row>
    <row r="28" spans="1:13" ht="19.5" customHeight="1">
      <c r="A28" s="3489"/>
      <c r="B28" s="3486"/>
      <c r="C28" s="2845" t="s">
        <v>2453</v>
      </c>
      <c r="D28" s="2846"/>
      <c r="E28" s="2847">
        <v>1</v>
      </c>
      <c r="F28" s="2844" t="s">
        <v>2454</v>
      </c>
      <c r="G28" s="2844"/>
    </row>
    <row r="29" spans="1:13" ht="19.5" customHeight="1">
      <c r="A29" s="3489"/>
      <c r="B29" s="3486"/>
      <c r="C29" s="2845" t="s">
        <v>2455</v>
      </c>
      <c r="D29" s="2846"/>
      <c r="E29" s="2847">
        <v>0.8</v>
      </c>
      <c r="F29" s="2844" t="s">
        <v>2456</v>
      </c>
      <c r="G29" s="2844"/>
    </row>
    <row r="30" spans="1:13" ht="19.5" customHeight="1">
      <c r="A30" s="3489"/>
      <c r="B30" s="3486"/>
      <c r="C30" s="2845" t="s">
        <v>2457</v>
      </c>
      <c r="D30" s="2846"/>
      <c r="E30" s="2847">
        <v>0.8</v>
      </c>
      <c r="F30" s="2844" t="s">
        <v>2458</v>
      </c>
      <c r="G30" s="2844"/>
    </row>
    <row r="31" spans="1:13" ht="19.5" customHeight="1">
      <c r="A31" s="3489"/>
      <c r="B31" s="3486"/>
      <c r="C31" s="2845" t="s">
        <v>2459</v>
      </c>
      <c r="D31" s="2846"/>
      <c r="E31" s="2847">
        <v>0.8</v>
      </c>
      <c r="F31" s="2844" t="s">
        <v>2460</v>
      </c>
      <c r="G31" s="2844"/>
    </row>
    <row r="32" spans="1:13" ht="19.5" customHeight="1">
      <c r="A32" s="3489"/>
      <c r="B32" s="3486"/>
      <c r="C32" s="2845" t="s">
        <v>2461</v>
      </c>
      <c r="D32" s="2846"/>
      <c r="E32" s="2847">
        <v>0.7</v>
      </c>
      <c r="F32" s="2844" t="s">
        <v>2462</v>
      </c>
      <c r="G32" s="2844"/>
    </row>
    <row r="33" spans="1:7" ht="19.5" customHeight="1">
      <c r="A33" s="3489"/>
      <c r="B33" s="3486"/>
      <c r="C33" s="2845" t="s">
        <v>2463</v>
      </c>
      <c r="D33" s="2846"/>
      <c r="E33" s="2847">
        <v>0.8</v>
      </c>
      <c r="F33" s="2844" t="s">
        <v>2464</v>
      </c>
      <c r="G33" s="2844"/>
    </row>
    <row r="34" spans="1:7" ht="19.5" customHeight="1">
      <c r="A34" s="3489"/>
      <c r="B34" s="3486"/>
      <c r="C34" s="2845" t="s">
        <v>2465</v>
      </c>
      <c r="D34" s="2846"/>
      <c r="E34" s="2847">
        <v>0.6</v>
      </c>
      <c r="F34" s="2844" t="s">
        <v>2466</v>
      </c>
      <c r="G34" s="2844"/>
    </row>
    <row r="35" spans="1:7" ht="19.5" customHeight="1">
      <c r="A35" s="3489"/>
      <c r="B35" s="3486"/>
      <c r="C35" s="2845" t="s">
        <v>2467</v>
      </c>
      <c r="D35" s="2846"/>
      <c r="E35" s="2847">
        <v>0.2</v>
      </c>
      <c r="F35" s="2844" t="s">
        <v>2468</v>
      </c>
      <c r="G35" s="2844"/>
    </row>
    <row r="36" spans="1:7" ht="19.5" customHeight="1">
      <c r="A36" s="3489"/>
      <c r="B36" s="3486"/>
      <c r="C36" s="2845" t="s">
        <v>2469</v>
      </c>
      <c r="D36" s="2846"/>
      <c r="E36" s="2847">
        <v>0.2</v>
      </c>
      <c r="F36" s="2844" t="s">
        <v>2470</v>
      </c>
      <c r="G36" s="2844"/>
    </row>
    <row r="37" spans="1:7" ht="19.5" customHeight="1">
      <c r="A37" s="3489"/>
      <c r="B37" s="3491" t="s">
        <v>2631</v>
      </c>
      <c r="C37" s="2845" t="s">
        <v>2471</v>
      </c>
      <c r="D37" s="2846"/>
      <c r="E37" s="2847">
        <v>0.6</v>
      </c>
      <c r="F37" s="2844" t="s">
        <v>2472</v>
      </c>
      <c r="G37" s="2844"/>
    </row>
    <row r="38" spans="1:7" ht="19.5" customHeight="1">
      <c r="A38" s="3489"/>
      <c r="B38" s="3486"/>
      <c r="C38" s="2845" t="s">
        <v>2473</v>
      </c>
      <c r="D38" s="2846"/>
      <c r="E38" s="2847">
        <v>0.6</v>
      </c>
      <c r="F38" s="2844" t="s">
        <v>2474</v>
      </c>
      <c r="G38" s="2844"/>
    </row>
    <row r="39" spans="1:7" ht="19.5" customHeight="1" thickBot="1">
      <c r="A39" s="3490"/>
      <c r="B39" s="3487"/>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92" t="s">
        <v>2609</v>
      </c>
      <c r="B41" s="3485" t="s">
        <v>2633</v>
      </c>
      <c r="C41" s="2841" t="s">
        <v>2478</v>
      </c>
      <c r="D41" s="2842"/>
      <c r="E41" s="2843">
        <v>1</v>
      </c>
      <c r="F41" s="2844" t="s">
        <v>2479</v>
      </c>
      <c r="G41" s="2844"/>
    </row>
    <row r="42" spans="1:7" ht="19.5" customHeight="1">
      <c r="A42" s="3493"/>
      <c r="B42" s="3486"/>
      <c r="C42" s="2845" t="s">
        <v>2480</v>
      </c>
      <c r="D42" s="2846"/>
      <c r="E42" s="2847">
        <v>1</v>
      </c>
      <c r="F42" s="2844" t="s">
        <v>2481</v>
      </c>
      <c r="G42" s="2844"/>
    </row>
    <row r="43" spans="1:7" ht="19.5" customHeight="1">
      <c r="A43" s="3493"/>
      <c r="B43" s="3495"/>
      <c r="C43" s="2845" t="s">
        <v>2482</v>
      </c>
      <c r="D43" s="2846"/>
      <c r="E43" s="2847">
        <v>1.5</v>
      </c>
      <c r="F43" s="2844" t="s">
        <v>2483</v>
      </c>
      <c r="G43" s="2844"/>
    </row>
    <row r="44" spans="1:7" ht="19.5" customHeight="1">
      <c r="A44" s="3493"/>
      <c r="B44" s="2856" t="s">
        <v>2634</v>
      </c>
      <c r="C44" s="2845" t="s">
        <v>2635</v>
      </c>
      <c r="D44" s="2846"/>
      <c r="E44" s="2847">
        <v>2</v>
      </c>
      <c r="F44" s="2844" t="s">
        <v>2484</v>
      </c>
      <c r="G44" s="2844"/>
    </row>
    <row r="45" spans="1:7" ht="19.5" customHeight="1">
      <c r="A45" s="3493"/>
      <c r="B45" s="3491" t="s">
        <v>2636</v>
      </c>
      <c r="C45" s="2845" t="s">
        <v>2485</v>
      </c>
      <c r="D45" s="2846"/>
      <c r="E45" s="2847">
        <v>1</v>
      </c>
      <c r="F45" s="2844" t="s">
        <v>2486</v>
      </c>
      <c r="G45" s="2844"/>
    </row>
    <row r="46" spans="1:7" ht="19.5" customHeight="1">
      <c r="A46" s="3493"/>
      <c r="B46" s="3486"/>
      <c r="C46" s="2845" t="s">
        <v>2487</v>
      </c>
      <c r="D46" s="2846"/>
      <c r="E46" s="2847">
        <v>1</v>
      </c>
      <c r="F46" s="2844" t="s">
        <v>2488</v>
      </c>
      <c r="G46" s="2844"/>
    </row>
    <row r="47" spans="1:7" ht="19.5" customHeight="1">
      <c r="A47" s="3493"/>
      <c r="B47" s="3486"/>
      <c r="C47" s="2845" t="s">
        <v>2489</v>
      </c>
      <c r="D47" s="2846"/>
      <c r="E47" s="2847">
        <v>1</v>
      </c>
      <c r="F47" s="2844" t="s">
        <v>2490</v>
      </c>
      <c r="G47" s="2844"/>
    </row>
    <row r="48" spans="1:7" ht="19.5" customHeight="1">
      <c r="A48" s="3493"/>
      <c r="B48" s="3486"/>
      <c r="C48" s="2845" t="s">
        <v>2491</v>
      </c>
      <c r="D48" s="2846"/>
      <c r="E48" s="2847">
        <v>1</v>
      </c>
      <c r="F48" s="2844" t="s">
        <v>2492</v>
      </c>
      <c r="G48" s="2844"/>
    </row>
    <row r="49" spans="1:7" ht="19.5" customHeight="1">
      <c r="A49" s="3493"/>
      <c r="B49" s="3486"/>
      <c r="C49" s="2845" t="s">
        <v>2493</v>
      </c>
      <c r="D49" s="2846"/>
      <c r="E49" s="2847">
        <v>1</v>
      </c>
      <c r="F49" s="2844" t="s">
        <v>2494</v>
      </c>
      <c r="G49" s="2844"/>
    </row>
    <row r="50" spans="1:7" ht="19.5" customHeight="1">
      <c r="A50" s="3493"/>
      <c r="B50" s="3486"/>
      <c r="C50" s="2845" t="s">
        <v>2495</v>
      </c>
      <c r="D50" s="2846"/>
      <c r="E50" s="2847">
        <v>1</v>
      </c>
      <c r="F50" s="2844" t="s">
        <v>2496</v>
      </c>
      <c r="G50" s="2844"/>
    </row>
    <row r="51" spans="1:7" ht="19.5" customHeight="1" thickBot="1">
      <c r="A51" s="3494"/>
      <c r="B51" s="3487"/>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3.5">
      <c r="A72" s="2856"/>
      <c r="B72" s="2856"/>
      <c r="C72" s="2856" t="s">
        <v>2649</v>
      </c>
      <c r="D72" s="2856"/>
      <c r="E72" s="2856" t="s">
        <v>2620</v>
      </c>
      <c r="F72" s="2856" t="s">
        <v>2620</v>
      </c>
    </row>
    <row r="73" spans="1:7" ht="13.5">
      <c r="A73" s="2856">
        <v>1</v>
      </c>
      <c r="B73" s="3491" t="s">
        <v>2650</v>
      </c>
      <c r="C73" s="2830" t="s">
        <v>2651</v>
      </c>
      <c r="D73" s="2830" t="s">
        <v>2652</v>
      </c>
      <c r="E73" s="2856">
        <v>0.2</v>
      </c>
      <c r="F73" s="2856">
        <v>25</v>
      </c>
    </row>
    <row r="74" spans="1:7" ht="24">
      <c r="A74" s="2856">
        <v>2</v>
      </c>
      <c r="B74" s="3486"/>
      <c r="C74" s="2830" t="s">
        <v>2653</v>
      </c>
      <c r="D74" s="2830" t="s">
        <v>2654</v>
      </c>
      <c r="E74" s="2856">
        <v>0.2</v>
      </c>
      <c r="F74" s="2856">
        <v>25</v>
      </c>
    </row>
    <row r="75" spans="1:7" ht="24">
      <c r="A75" s="2856">
        <v>3</v>
      </c>
      <c r="B75" s="3486"/>
      <c r="C75" s="2830" t="s">
        <v>2655</v>
      </c>
      <c r="D75" s="2830" t="s">
        <v>2656</v>
      </c>
      <c r="E75" s="2856">
        <v>0.2</v>
      </c>
      <c r="F75" s="2856">
        <v>25</v>
      </c>
    </row>
    <row r="76" spans="1:7" ht="13.5">
      <c r="A76" s="2856">
        <v>4</v>
      </c>
      <c r="B76" s="3486"/>
      <c r="C76" s="2830" t="s">
        <v>2657</v>
      </c>
      <c r="D76" s="2830" t="s">
        <v>2658</v>
      </c>
      <c r="E76" s="2856">
        <v>0.15</v>
      </c>
      <c r="F76" s="2856">
        <v>20</v>
      </c>
    </row>
    <row r="77" spans="1:7" ht="24">
      <c r="A77" s="2856">
        <v>5</v>
      </c>
      <c r="B77" s="3486"/>
      <c r="C77" s="2830" t="s">
        <v>2659</v>
      </c>
      <c r="D77" s="2830" t="s">
        <v>2660</v>
      </c>
      <c r="E77" s="2856">
        <v>0.15</v>
      </c>
      <c r="F77" s="2856">
        <v>20</v>
      </c>
    </row>
    <row r="78" spans="1:7" ht="24">
      <c r="A78" s="2856">
        <v>6</v>
      </c>
      <c r="B78" s="3486"/>
      <c r="C78" s="2830" t="s">
        <v>2661</v>
      </c>
      <c r="D78" s="2830" t="s">
        <v>2662</v>
      </c>
      <c r="E78" s="2856">
        <v>0.15</v>
      </c>
      <c r="F78" s="2856">
        <v>20</v>
      </c>
    </row>
    <row r="79" spans="1:7" ht="24">
      <c r="A79" s="2856">
        <v>7</v>
      </c>
      <c r="B79" s="3486"/>
      <c r="C79" s="2830" t="s">
        <v>2663</v>
      </c>
      <c r="D79" s="2830" t="s">
        <v>2664</v>
      </c>
      <c r="E79" s="2856">
        <v>0.15</v>
      </c>
      <c r="F79" s="2856">
        <v>20</v>
      </c>
    </row>
    <row r="80" spans="1:7" ht="24">
      <c r="A80" s="2856">
        <v>8</v>
      </c>
      <c r="B80" s="3486"/>
      <c r="C80" s="2830" t="s">
        <v>2665</v>
      </c>
      <c r="D80" s="2830" t="s">
        <v>2666</v>
      </c>
      <c r="E80" s="2856">
        <v>0.1</v>
      </c>
      <c r="F80" s="2856">
        <v>15</v>
      </c>
    </row>
    <row r="81" spans="1:6" ht="24">
      <c r="A81" s="2856">
        <v>9</v>
      </c>
      <c r="B81" s="3486"/>
      <c r="C81" s="2830" t="s">
        <v>2667</v>
      </c>
      <c r="D81" s="2830" t="s">
        <v>2668</v>
      </c>
      <c r="E81" s="2856">
        <v>0.1</v>
      </c>
      <c r="F81" s="2856">
        <v>15</v>
      </c>
    </row>
    <row r="82" spans="1:6" ht="24">
      <c r="A82" s="2856">
        <v>10</v>
      </c>
      <c r="B82" s="3486"/>
      <c r="C82" s="2830" t="s">
        <v>2669</v>
      </c>
      <c r="D82" s="2830" t="s">
        <v>2670</v>
      </c>
      <c r="E82" s="2856">
        <v>0.1</v>
      </c>
      <c r="F82" s="2856">
        <v>15</v>
      </c>
    </row>
    <row r="83" spans="1:6" ht="24">
      <c r="A83" s="2856">
        <v>11</v>
      </c>
      <c r="B83" s="3486"/>
      <c r="C83" s="2830" t="s">
        <v>2671</v>
      </c>
      <c r="D83" s="2830" t="s">
        <v>2672</v>
      </c>
      <c r="E83" s="2856">
        <v>0.1</v>
      </c>
      <c r="F83" s="2856">
        <v>15</v>
      </c>
    </row>
    <row r="84" spans="1:6" ht="24">
      <c r="A84" s="2856">
        <v>12</v>
      </c>
      <c r="B84" s="3486"/>
      <c r="C84" s="2830" t="s">
        <v>2673</v>
      </c>
      <c r="D84" s="2830" t="s">
        <v>2674</v>
      </c>
      <c r="E84" s="2856">
        <v>0.1</v>
      </c>
      <c r="F84" s="2856">
        <v>15</v>
      </c>
    </row>
    <row r="85" spans="1:6" ht="13.5">
      <c r="A85" s="2856">
        <v>13</v>
      </c>
      <c r="B85" s="3486"/>
      <c r="C85" s="2830" t="s">
        <v>2675</v>
      </c>
      <c r="D85" s="2830" t="s">
        <v>2676</v>
      </c>
      <c r="E85" s="2856">
        <v>0.1</v>
      </c>
      <c r="F85" s="2856">
        <v>15</v>
      </c>
    </row>
    <row r="86" spans="1:6" ht="13.5">
      <c r="A86" s="2856">
        <v>14</v>
      </c>
      <c r="B86" s="3486"/>
      <c r="C86" s="2830" t="s">
        <v>2677</v>
      </c>
      <c r="D86" s="2830" t="s">
        <v>2678</v>
      </c>
      <c r="E86" s="2856">
        <v>0.1</v>
      </c>
      <c r="F86" s="2856">
        <v>15</v>
      </c>
    </row>
    <row r="87" spans="1:6" ht="13.5">
      <c r="A87" s="2856">
        <v>15</v>
      </c>
      <c r="B87" s="3486"/>
      <c r="C87" s="2830" t="s">
        <v>2679</v>
      </c>
      <c r="D87" s="2830" t="s">
        <v>2680</v>
      </c>
      <c r="E87" s="2856">
        <v>0.1</v>
      </c>
      <c r="F87" s="2856">
        <v>15</v>
      </c>
    </row>
    <row r="88" spans="1:6" ht="24">
      <c r="A88" s="2856">
        <v>16</v>
      </c>
      <c r="B88" s="3486"/>
      <c r="C88" s="2830" t="s">
        <v>2681</v>
      </c>
      <c r="D88" s="2830" t="s">
        <v>2682</v>
      </c>
      <c r="E88" s="2856">
        <v>0.1</v>
      </c>
      <c r="F88" s="2856">
        <v>15</v>
      </c>
    </row>
    <row r="89" spans="1:6" ht="24">
      <c r="A89" s="2856">
        <v>17</v>
      </c>
      <c r="B89" s="3495"/>
      <c r="C89" s="2830" t="s">
        <v>2683</v>
      </c>
      <c r="D89" s="2830" t="s">
        <v>2684</v>
      </c>
      <c r="E89" s="2856">
        <v>0.1</v>
      </c>
      <c r="F89" s="2856">
        <v>15</v>
      </c>
    </row>
    <row r="90" spans="1:6" ht="13.5">
      <c r="A90" s="2856">
        <v>18</v>
      </c>
      <c r="B90" s="3491" t="s">
        <v>2685</v>
      </c>
      <c r="C90" s="2830" t="s">
        <v>2686</v>
      </c>
      <c r="D90" s="2830" t="s">
        <v>2687</v>
      </c>
      <c r="E90" s="2856">
        <v>0.2</v>
      </c>
      <c r="F90" s="2856">
        <v>25</v>
      </c>
    </row>
    <row r="91" spans="1:6" ht="24">
      <c r="A91" s="2856">
        <v>19</v>
      </c>
      <c r="B91" s="3486"/>
      <c r="C91" s="2830" t="s">
        <v>2688</v>
      </c>
      <c r="D91" s="2830" t="s">
        <v>2689</v>
      </c>
      <c r="E91" s="2856">
        <v>0.2</v>
      </c>
      <c r="F91" s="2856">
        <v>25</v>
      </c>
    </row>
    <row r="92" spans="1:6" ht="13.5">
      <c r="A92" s="2856">
        <v>20</v>
      </c>
      <c r="B92" s="3486"/>
      <c r="C92" s="2830" t="s">
        <v>2690</v>
      </c>
      <c r="D92" s="2830" t="s">
        <v>2691</v>
      </c>
      <c r="E92" s="2856">
        <v>0.15</v>
      </c>
      <c r="F92" s="2856">
        <v>20</v>
      </c>
    </row>
    <row r="93" spans="1:6" ht="13.5">
      <c r="A93" s="2856">
        <v>21</v>
      </c>
      <c r="B93" s="3486"/>
      <c r="C93" s="2830" t="s">
        <v>2692</v>
      </c>
      <c r="D93" s="2830" t="s">
        <v>2693</v>
      </c>
      <c r="E93" s="2856">
        <v>0.15</v>
      </c>
      <c r="F93" s="2856">
        <v>20</v>
      </c>
    </row>
    <row r="94" spans="1:6" ht="13.5">
      <c r="A94" s="2856">
        <v>22</v>
      </c>
      <c r="B94" s="3486"/>
      <c r="C94" s="2830" t="s">
        <v>2694</v>
      </c>
      <c r="D94" s="2830" t="s">
        <v>2695</v>
      </c>
      <c r="E94" s="2856">
        <v>0.15</v>
      </c>
      <c r="F94" s="2856">
        <v>20</v>
      </c>
    </row>
    <row r="95" spans="1:6" ht="36">
      <c r="A95" s="2856">
        <v>23</v>
      </c>
      <c r="B95" s="3486"/>
      <c r="C95" s="2830" t="s">
        <v>2696</v>
      </c>
      <c r="D95" s="2830" t="s">
        <v>2697</v>
      </c>
      <c r="E95" s="2856">
        <v>0.15</v>
      </c>
      <c r="F95" s="2856">
        <v>20</v>
      </c>
    </row>
    <row r="96" spans="1:6" ht="13.5">
      <c r="A96" s="2856">
        <v>24</v>
      </c>
      <c r="B96" s="3486"/>
      <c r="C96" s="2830" t="s">
        <v>2698</v>
      </c>
      <c r="D96" s="2830" t="s">
        <v>2699</v>
      </c>
      <c r="E96" s="2856">
        <v>0.1</v>
      </c>
      <c r="F96" s="2856">
        <v>15</v>
      </c>
    </row>
    <row r="97" spans="1:6" ht="13.5">
      <c r="A97" s="2856">
        <v>25</v>
      </c>
      <c r="B97" s="3486"/>
      <c r="C97" s="2830" t="s">
        <v>2700</v>
      </c>
      <c r="D97" s="2830" t="s">
        <v>2701</v>
      </c>
      <c r="E97" s="2856">
        <v>0.1</v>
      </c>
      <c r="F97" s="2856">
        <v>15</v>
      </c>
    </row>
    <row r="98" spans="1:6" ht="24">
      <c r="A98" s="2856">
        <v>26</v>
      </c>
      <c r="B98" s="3486"/>
      <c r="C98" s="2830" t="s">
        <v>2702</v>
      </c>
      <c r="D98" s="2830" t="s">
        <v>2703</v>
      </c>
      <c r="E98" s="2856">
        <v>0.1</v>
      </c>
      <c r="F98" s="2856">
        <v>15</v>
      </c>
    </row>
    <row r="99" spans="1:6" ht="24">
      <c r="A99" s="2856">
        <v>27</v>
      </c>
      <c r="B99" s="3486"/>
      <c r="C99" s="2830" t="s">
        <v>2704</v>
      </c>
      <c r="D99" s="2830" t="s">
        <v>2705</v>
      </c>
      <c r="E99" s="2856">
        <v>0.1</v>
      </c>
      <c r="F99" s="2856">
        <v>15</v>
      </c>
    </row>
    <row r="100" spans="1:6" ht="13.5">
      <c r="A100" s="2856">
        <v>28</v>
      </c>
      <c r="B100" s="3486"/>
      <c r="C100" s="2830" t="s">
        <v>2706</v>
      </c>
      <c r="D100" s="2830" t="s">
        <v>2707</v>
      </c>
      <c r="E100" s="2856">
        <v>0.1</v>
      </c>
      <c r="F100" s="2856">
        <v>15</v>
      </c>
    </row>
    <row r="101" spans="1:6" ht="13.5">
      <c r="A101" s="2856">
        <v>29</v>
      </c>
      <c r="B101" s="3486"/>
      <c r="C101" s="2830" t="s">
        <v>2708</v>
      </c>
      <c r="D101" s="2830" t="s">
        <v>2709</v>
      </c>
      <c r="E101" s="2856">
        <v>0.1</v>
      </c>
      <c r="F101" s="2856">
        <v>15</v>
      </c>
    </row>
    <row r="102" spans="1:6" ht="13.5">
      <c r="A102" s="2856">
        <v>30</v>
      </c>
      <c r="B102" s="3486"/>
      <c r="C102" s="2830" t="s">
        <v>2710</v>
      </c>
      <c r="D102" s="2830" t="s">
        <v>2711</v>
      </c>
      <c r="E102" s="2856">
        <v>0.1</v>
      </c>
      <c r="F102" s="2856">
        <v>15</v>
      </c>
    </row>
    <row r="103" spans="1:6" ht="24">
      <c r="A103" s="2856">
        <v>31</v>
      </c>
      <c r="B103" s="3486"/>
      <c r="C103" s="2830" t="s">
        <v>2712</v>
      </c>
      <c r="D103" s="2830" t="s">
        <v>2713</v>
      </c>
      <c r="E103" s="2856">
        <v>0.1</v>
      </c>
      <c r="F103" s="2856">
        <v>15</v>
      </c>
    </row>
    <row r="104" spans="1:6" ht="24">
      <c r="A104" s="2856">
        <v>32</v>
      </c>
      <c r="B104" s="3486"/>
      <c r="C104" s="2830" t="s">
        <v>2714</v>
      </c>
      <c r="D104" s="2830" t="s">
        <v>2715</v>
      </c>
      <c r="E104" s="2856">
        <v>0.1</v>
      </c>
      <c r="F104" s="2856">
        <v>15</v>
      </c>
    </row>
    <row r="105" spans="1:6" ht="24">
      <c r="A105" s="2856">
        <v>33</v>
      </c>
      <c r="B105" s="3486"/>
      <c r="C105" s="2830" t="s">
        <v>2716</v>
      </c>
      <c r="D105" s="2830" t="s">
        <v>2717</v>
      </c>
      <c r="E105" s="2856">
        <v>0.1</v>
      </c>
      <c r="F105" s="2856">
        <v>15</v>
      </c>
    </row>
    <row r="106" spans="1:6" ht="24">
      <c r="A106" s="2856">
        <v>34</v>
      </c>
      <c r="B106" s="3495"/>
      <c r="C106" s="2830" t="s">
        <v>2718</v>
      </c>
      <c r="D106" s="2830" t="s">
        <v>2719</v>
      </c>
      <c r="E106" s="2856">
        <v>0.1</v>
      </c>
      <c r="F106" s="2856">
        <v>15</v>
      </c>
    </row>
    <row r="107" spans="1:6" ht="24">
      <c r="A107" s="2856">
        <v>35</v>
      </c>
      <c r="B107" s="3491" t="s">
        <v>2720</v>
      </c>
      <c r="C107" s="2856" t="s">
        <v>2721</v>
      </c>
      <c r="D107" s="2830" t="s">
        <v>2722</v>
      </c>
      <c r="E107" s="2856">
        <v>0.15</v>
      </c>
      <c r="F107" s="2856">
        <v>20</v>
      </c>
    </row>
    <row r="108" spans="1:6" ht="13.5">
      <c r="A108" s="2856">
        <v>36</v>
      </c>
      <c r="B108" s="3486"/>
      <c r="C108" s="2856" t="s">
        <v>2723</v>
      </c>
      <c r="D108" s="2830" t="s">
        <v>2724</v>
      </c>
      <c r="E108" s="2856">
        <v>0.15</v>
      </c>
      <c r="F108" s="2856">
        <v>20</v>
      </c>
    </row>
    <row r="109" spans="1:6" ht="13.5">
      <c r="A109" s="2856">
        <v>37</v>
      </c>
      <c r="B109" s="3486"/>
      <c r="C109" s="2856" t="s">
        <v>2725</v>
      </c>
      <c r="D109" s="2830" t="s">
        <v>2726</v>
      </c>
      <c r="E109" s="2856">
        <v>0.15</v>
      </c>
      <c r="F109" s="2856">
        <v>20</v>
      </c>
    </row>
    <row r="110" spans="1:6" ht="13.5">
      <c r="A110" s="2856">
        <v>38</v>
      </c>
      <c r="B110" s="3486"/>
      <c r="C110" s="2856" t="s">
        <v>2727</v>
      </c>
      <c r="D110" s="2830" t="s">
        <v>2728</v>
      </c>
      <c r="E110" s="2856">
        <v>0.1</v>
      </c>
      <c r="F110" s="2856">
        <v>15</v>
      </c>
    </row>
    <row r="111" spans="1:6" ht="24">
      <c r="A111" s="2856">
        <v>39</v>
      </c>
      <c r="B111" s="3486"/>
      <c r="C111" s="2856" t="s">
        <v>2729</v>
      </c>
      <c r="D111" s="2830" t="s">
        <v>2730</v>
      </c>
      <c r="E111" s="2856">
        <v>0.1</v>
      </c>
      <c r="F111" s="2856">
        <v>15</v>
      </c>
    </row>
    <row r="112" spans="1:6" ht="24">
      <c r="A112" s="2856">
        <v>40</v>
      </c>
      <c r="B112" s="3495"/>
      <c r="C112" s="2856" t="s">
        <v>2731</v>
      </c>
      <c r="D112" s="2830" t="s">
        <v>2732</v>
      </c>
      <c r="E112" s="2856">
        <v>0.1</v>
      </c>
      <c r="F112" s="2856">
        <v>15</v>
      </c>
    </row>
    <row r="113" spans="1:6" ht="13.5">
      <c r="A113" s="2856">
        <v>41</v>
      </c>
      <c r="B113" s="3496" t="s">
        <v>2733</v>
      </c>
      <c r="C113" s="2856" t="s">
        <v>2734</v>
      </c>
      <c r="D113" s="2830" t="s">
        <v>2735</v>
      </c>
      <c r="E113" s="2856">
        <v>0.1</v>
      </c>
      <c r="F113" s="2856">
        <v>15</v>
      </c>
    </row>
    <row r="114" spans="1:6" ht="13.5">
      <c r="A114" s="2856">
        <v>42</v>
      </c>
      <c r="B114" s="3496"/>
      <c r="C114" s="2856" t="s">
        <v>2736</v>
      </c>
      <c r="D114" s="2830" t="s">
        <v>2737</v>
      </c>
      <c r="E114" s="2856">
        <v>0.1</v>
      </c>
      <c r="F114" s="2856">
        <v>15</v>
      </c>
    </row>
    <row r="115" spans="1:6" ht="24">
      <c r="A115" s="2856">
        <v>43</v>
      </c>
      <c r="B115" s="3496"/>
      <c r="C115" s="2856" t="s">
        <v>2738</v>
      </c>
      <c r="D115" s="2830" t="s">
        <v>2739</v>
      </c>
      <c r="E115" s="2856">
        <v>0.1</v>
      </c>
      <c r="F115" s="2856">
        <v>15</v>
      </c>
    </row>
    <row r="116" spans="1:6" ht="13.5">
      <c r="A116" s="2856">
        <v>44</v>
      </c>
      <c r="B116" s="3491" t="s">
        <v>2740</v>
      </c>
      <c r="C116" s="2856" t="s">
        <v>2741</v>
      </c>
      <c r="D116" s="2830" t="s">
        <v>2742</v>
      </c>
      <c r="E116" s="2856">
        <v>0.1</v>
      </c>
      <c r="F116" s="2856">
        <v>15</v>
      </c>
    </row>
    <row r="117" spans="1:6" ht="24">
      <c r="A117" s="2856">
        <v>45</v>
      </c>
      <c r="B117" s="3495"/>
      <c r="C117" s="2830" t="s">
        <v>2743</v>
      </c>
      <c r="D117" s="2830" t="s">
        <v>2744</v>
      </c>
      <c r="E117" s="2856">
        <v>0.1</v>
      </c>
      <c r="F117" s="2856">
        <v>15</v>
      </c>
    </row>
    <row r="118" spans="1:6" ht="24">
      <c r="A118" s="2856">
        <v>46</v>
      </c>
      <c r="B118" s="3491" t="s">
        <v>2745</v>
      </c>
      <c r="C118" s="2856" t="s">
        <v>2746</v>
      </c>
      <c r="D118" s="2830" t="s">
        <v>2747</v>
      </c>
      <c r="E118" s="2856">
        <v>0.1</v>
      </c>
      <c r="F118" s="2856">
        <v>15</v>
      </c>
    </row>
    <row r="119" spans="1:6" ht="24">
      <c r="A119" s="2856">
        <v>47</v>
      </c>
      <c r="B119" s="3495"/>
      <c r="C119" s="2856" t="s">
        <v>2748</v>
      </c>
      <c r="D119" s="2830" t="s">
        <v>2749</v>
      </c>
      <c r="E119" s="2856">
        <v>0.1</v>
      </c>
      <c r="F119" s="2856">
        <v>15</v>
      </c>
    </row>
    <row r="120" spans="1:6" ht="13.5">
      <c r="A120" s="2856">
        <v>48</v>
      </c>
      <c r="B120" s="3491" t="s">
        <v>2750</v>
      </c>
      <c r="C120" s="2856" t="s">
        <v>2751</v>
      </c>
      <c r="D120" s="2830" t="s">
        <v>2752</v>
      </c>
      <c r="E120" s="2856">
        <v>0.1</v>
      </c>
      <c r="F120" s="2856">
        <v>15</v>
      </c>
    </row>
    <row r="121" spans="1:6" ht="13.5">
      <c r="A121" s="2856">
        <v>49</v>
      </c>
      <c r="B121" s="3495"/>
      <c r="C121" s="2856" t="s">
        <v>2753</v>
      </c>
      <c r="D121" s="2830" t="s">
        <v>2754</v>
      </c>
      <c r="E121" s="2856">
        <v>0.1</v>
      </c>
      <c r="F121" s="2856">
        <v>15</v>
      </c>
    </row>
    <row r="122" spans="1:6" ht="24">
      <c r="A122" s="2856">
        <v>50</v>
      </c>
      <c r="B122" s="3496" t="s">
        <v>2755</v>
      </c>
      <c r="C122" s="2856" t="s">
        <v>2756</v>
      </c>
      <c r="D122" s="2830" t="s">
        <v>2757</v>
      </c>
      <c r="E122" s="2856">
        <v>0.1</v>
      </c>
      <c r="F122" s="2856">
        <v>15</v>
      </c>
    </row>
    <row r="123" spans="1:6" ht="24">
      <c r="A123" s="2856">
        <v>51</v>
      </c>
      <c r="B123" s="3496"/>
      <c r="C123" s="2856" t="s">
        <v>2758</v>
      </c>
      <c r="D123" s="2830" t="s">
        <v>2759</v>
      </c>
      <c r="E123" s="2856">
        <v>0.1</v>
      </c>
      <c r="F123" s="2856">
        <v>15</v>
      </c>
    </row>
    <row r="124" spans="1:6" ht="24">
      <c r="A124" s="2856">
        <v>52</v>
      </c>
      <c r="B124" s="3496" t="s">
        <v>2760</v>
      </c>
      <c r="C124" s="2856" t="s">
        <v>2761</v>
      </c>
      <c r="D124" s="2830" t="s">
        <v>2762</v>
      </c>
      <c r="E124" s="2856">
        <v>0.1</v>
      </c>
      <c r="F124" s="2856">
        <v>15</v>
      </c>
    </row>
    <row r="125" spans="1:6" ht="24">
      <c r="A125" s="2856">
        <v>53</v>
      </c>
      <c r="B125" s="3496"/>
      <c r="C125" s="2856" t="s">
        <v>2763</v>
      </c>
      <c r="D125" s="2830" t="s">
        <v>2764</v>
      </c>
      <c r="E125" s="2856">
        <v>0.1</v>
      </c>
      <c r="F125" s="2856">
        <v>15</v>
      </c>
    </row>
    <row r="126" spans="1:6" ht="13.5">
      <c r="A126" s="2856">
        <v>54</v>
      </c>
      <c r="B126" s="2856" t="s">
        <v>2765</v>
      </c>
      <c r="C126" s="2856" t="s">
        <v>2766</v>
      </c>
      <c r="D126" s="2830" t="s">
        <v>2767</v>
      </c>
      <c r="E126" s="2856">
        <v>0.1</v>
      </c>
      <c r="F126" s="2856">
        <v>15</v>
      </c>
    </row>
    <row r="127" spans="1:6" ht="13.5">
      <c r="A127" s="2856">
        <v>55</v>
      </c>
      <c r="B127" s="3496" t="s">
        <v>2768</v>
      </c>
      <c r="C127" s="2856" t="s">
        <v>2769</v>
      </c>
      <c r="D127" s="2830" t="s">
        <v>2770</v>
      </c>
      <c r="E127" s="2856">
        <v>0.1</v>
      </c>
      <c r="F127" s="2856">
        <v>15</v>
      </c>
    </row>
    <row r="128" spans="1:6" ht="13.5">
      <c r="A128" s="2856">
        <v>56</v>
      </c>
      <c r="B128" s="3496"/>
      <c r="C128" s="2856" t="s">
        <v>2771</v>
      </c>
      <c r="D128" s="2830" t="s">
        <v>2772</v>
      </c>
      <c r="E128" s="2856">
        <v>0.1</v>
      </c>
      <c r="F128" s="2856">
        <v>15</v>
      </c>
    </row>
    <row r="129" spans="1:6" ht="24">
      <c r="A129" s="2856">
        <v>57</v>
      </c>
      <c r="B129" s="3496"/>
      <c r="C129" s="2856" t="s">
        <v>2773</v>
      </c>
      <c r="D129" s="2830" t="s">
        <v>2774</v>
      </c>
      <c r="E129" s="2856">
        <v>0.1</v>
      </c>
      <c r="F129" s="2856">
        <v>15</v>
      </c>
    </row>
    <row r="130" spans="1:6" ht="24">
      <c r="A130" s="2856">
        <v>58</v>
      </c>
      <c r="B130" s="3496" t="s">
        <v>2775</v>
      </c>
      <c r="C130" s="2856" t="s">
        <v>2776</v>
      </c>
      <c r="D130" s="2830" t="s">
        <v>2777</v>
      </c>
      <c r="E130" s="2856">
        <v>0.1</v>
      </c>
      <c r="F130" s="2856">
        <v>15</v>
      </c>
    </row>
    <row r="131" spans="1:6" ht="13.5">
      <c r="A131" s="2856">
        <v>59</v>
      </c>
      <c r="B131" s="3496"/>
      <c r="C131" s="2856" t="s">
        <v>2778</v>
      </c>
      <c r="D131" s="2830" t="s">
        <v>2779</v>
      </c>
      <c r="E131" s="2856">
        <v>0.1</v>
      </c>
      <c r="F131" s="2856">
        <v>15</v>
      </c>
    </row>
    <row r="132" spans="1:6" ht="13.5">
      <c r="A132" s="2856">
        <v>60</v>
      </c>
      <c r="B132" s="3491" t="s">
        <v>2780</v>
      </c>
      <c r="C132" s="2856" t="s">
        <v>2781</v>
      </c>
      <c r="D132" s="2830" t="s">
        <v>2782</v>
      </c>
      <c r="E132" s="2856">
        <v>0.1</v>
      </c>
      <c r="F132" s="2856">
        <v>15</v>
      </c>
    </row>
    <row r="133" spans="1:6" ht="13.5">
      <c r="A133" s="2856">
        <v>61</v>
      </c>
      <c r="B133" s="3495"/>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13.5">
      <c r="A135" s="2856">
        <v>63</v>
      </c>
      <c r="B135" s="3496" t="s">
        <v>2788</v>
      </c>
      <c r="C135" s="2856" t="s">
        <v>2789</v>
      </c>
      <c r="D135" s="2830" t="s">
        <v>2790</v>
      </c>
      <c r="E135" s="2856">
        <v>0.1</v>
      </c>
      <c r="F135" s="2856">
        <v>15</v>
      </c>
    </row>
    <row r="136" spans="1:6" ht="13.5">
      <c r="A136" s="2856">
        <v>64</v>
      </c>
      <c r="B136" s="3496"/>
      <c r="C136" s="2856" t="s">
        <v>2791</v>
      </c>
      <c r="D136" s="2830" t="s">
        <v>2792</v>
      </c>
      <c r="E136" s="2856">
        <v>0.1</v>
      </c>
      <c r="F136" s="2856">
        <v>15</v>
      </c>
    </row>
    <row r="137" spans="1:6" ht="13.5">
      <c r="A137" s="2856">
        <v>65</v>
      </c>
      <c r="B137" s="2856" t="s">
        <v>2793</v>
      </c>
      <c r="C137" s="2856" t="s">
        <v>2794</v>
      </c>
      <c r="D137" s="2830" t="s">
        <v>2795</v>
      </c>
      <c r="E137" s="2856">
        <v>0.1</v>
      </c>
      <c r="F137" s="2856">
        <v>15</v>
      </c>
    </row>
    <row r="138" spans="1:6" ht="13.5">
      <c r="A138" s="2856"/>
      <c r="B138" s="2856"/>
      <c r="C138" s="2856"/>
      <c r="D138" s="2856"/>
      <c r="E138" s="2856" t="s">
        <v>2796</v>
      </c>
      <c r="F138" s="285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SUMPRODUCT((A95:A184=ROUNDDOWN('基准地价修正-住宅'!G3,1))*(B94:M94='基准地价修正-住宅'!G2)*(B95:M184))</f>
        <v>1</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SUMPRODUCT((A371:A460=ROUNDDOWN('基准地价修正-住宅'!G3,1))*(B370:M370='基准地价修正-住宅'!G2)*(B371:M460))</f>
        <v>0.95120000000000005</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27848</v>
      </c>
      <c r="C2" s="2" t="s">
        <v>106</v>
      </c>
      <c r="D2" s="191"/>
      <c r="E2" s="191"/>
      <c r="F2" s="191"/>
      <c r="G2" s="191"/>
    </row>
    <row r="3" spans="1:7" s="192" customFormat="1" ht="18" customHeight="1" thickBot="1">
      <c r="A3" s="195" t="s">
        <v>58</v>
      </c>
      <c r="B3" s="196">
        <f ca="1">ROUND(B2*10000/'数据-汇总表'!E3,0)</f>
        <v>1285213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185.94</v>
      </c>
      <c r="E9" s="217">
        <f>'数据-取费表'!B27</f>
        <v>160</v>
      </c>
      <c r="F9" s="213"/>
      <c r="G9" s="218"/>
    </row>
    <row r="10" spans="1:7" s="206" customFormat="1" ht="13.5" customHeight="1">
      <c r="A10" s="733" t="s">
        <v>356</v>
      </c>
      <c r="B10" s="216" t="s">
        <v>67</v>
      </c>
      <c r="C10" s="217">
        <f>ROUND(D10*E10/10000,0)</f>
        <v>1</v>
      </c>
      <c r="D10" s="795">
        <f>'数据-汇总表'!E6</f>
        <v>30.740000000000009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216.68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1267</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2944</v>
      </c>
      <c r="D27" s="227">
        <f>C29</f>
        <v>4.1999999999999997E-3</v>
      </c>
      <c r="E27" s="228" t="s">
        <v>99</v>
      </c>
      <c r="F27" s="238">
        <f>'数据-取费表'!Q16</f>
        <v>0.14000000000000001</v>
      </c>
      <c r="G27" s="239" t="s">
        <v>431</v>
      </c>
    </row>
    <row r="28" spans="1:7" s="206" customFormat="1" ht="13.5" customHeight="1">
      <c r="A28" s="734" t="s">
        <v>349</v>
      </c>
      <c r="B28" s="240" t="s">
        <v>424</v>
      </c>
      <c r="C28" s="241">
        <f>ROUND((C5+C19+C20)*F27*'数据-取费表'!B21/'数据-取费表'!B20,0)</f>
        <v>2944</v>
      </c>
      <c r="D28" s="227"/>
      <c r="E28" s="228"/>
      <c r="F28" s="238"/>
      <c r="G28" s="239"/>
    </row>
    <row r="29" spans="1:7" s="206" customFormat="1" ht="13.5" customHeight="1">
      <c r="A29" s="734" t="s">
        <v>347</v>
      </c>
      <c r="B29" s="240" t="s">
        <v>425</v>
      </c>
      <c r="C29" s="230">
        <f>ROUND(C21*F27*'数据-取费表'!B21/'数据-取费表'!B20,4)</f>
        <v>4.1999999999999997E-3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130</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4</v>
      </c>
      <c r="D37" s="209">
        <f>'数据-汇总表'!E3</f>
        <v>216.68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5</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8.9999999999999998E-4</v>
      </c>
      <c r="D44" s="230"/>
      <c r="E44" s="230"/>
      <c r="F44" s="231"/>
      <c r="G44" s="3362"/>
    </row>
    <row r="45" spans="1:7" s="206" customFormat="1" ht="13.5" customHeight="1">
      <c r="A45" s="731" t="s">
        <v>341</v>
      </c>
      <c r="B45" s="236" t="s">
        <v>85</v>
      </c>
      <c r="C45" s="237">
        <f>C46</f>
        <v>21</v>
      </c>
      <c r="D45" s="227">
        <f>C47</f>
        <v>4.1999999999999997E-3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4.1999999999999997E-3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163</v>
      </c>
      <c r="D51" s="224"/>
      <c r="E51" s="224"/>
      <c r="F51" s="256"/>
      <c r="G51" s="226" t="s">
        <v>37</v>
      </c>
    </row>
    <row r="52" spans="1:7" s="200" customFormat="1" ht="16.5" thickBot="1">
      <c r="A52" s="257" t="s">
        <v>38</v>
      </c>
      <c r="B52" s="258"/>
      <c r="C52" s="259">
        <f ca="1">C31+C51</f>
        <v>27848</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7" t="s">
        <v>3180</v>
      </c>
      <c r="B1" s="3497"/>
    </row>
    <row r="2" spans="1:7" ht="14.25" thickBot="1">
      <c r="A2" s="2967"/>
      <c r="B2" s="2967"/>
    </row>
    <row r="3" spans="1:7" ht="14.25" thickBot="1">
      <c r="A3" s="2967"/>
      <c r="B3" s="2967"/>
      <c r="C3" s="2968" t="s">
        <v>2810</v>
      </c>
      <c r="D3" s="2968" t="s">
        <v>2866</v>
      </c>
      <c r="E3" s="2968" t="s">
        <v>2812</v>
      </c>
      <c r="F3" s="2968" t="s">
        <v>2867</v>
      </c>
      <c r="G3" s="2968" t="s">
        <v>2630</v>
      </c>
    </row>
    <row r="4" spans="1:7" ht="14.2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2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2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2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2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2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2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2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2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2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2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'结果表-住宅'!D116</f>
        <v>出让国有建设用地使用权价值</v>
      </c>
      <c r="E2" s="3189"/>
      <c r="F2" s="3189" t="str">
        <f>'结果表-住宅'!F116</f>
        <v>在建建筑物价值</v>
      </c>
      <c r="G2" s="3189"/>
      <c r="H2" s="3189" t="str">
        <f>IF(项目基本情况!B9="房地产市场价值","房地产市场价值","房地产价值")</f>
        <v>房地产价值</v>
      </c>
      <c r="I2" s="3189"/>
    </row>
    <row r="3" spans="1:9" ht="15">
      <c r="A3" s="3190"/>
      <c r="B3" s="3190"/>
      <c r="C3" s="3190"/>
      <c r="D3" s="801" t="s">
        <v>925</v>
      </c>
      <c r="E3" s="801" t="s">
        <v>931</v>
      </c>
      <c r="F3" s="801" t="s">
        <v>925</v>
      </c>
      <c r="G3" s="801" t="s">
        <v>926</v>
      </c>
      <c r="H3" s="801" t="s">
        <v>925</v>
      </c>
      <c r="I3" s="801" t="s">
        <v>926</v>
      </c>
    </row>
    <row r="4" spans="1:9" ht="60">
      <c r="A4" s="1403" t="str">
        <f>项目基本情况!S2</f>
        <v>北京市房山区揽秀南街15号院5号楼5-1-4等47套住宅、13号院10幢-1-1006等1147个地下车位房地产</v>
      </c>
      <c r="B4" s="801">
        <f>项目基本情况!C17</f>
        <v>216.68</v>
      </c>
      <c r="C4" s="801">
        <f>项目基本情况!C18</f>
        <v>0</v>
      </c>
      <c r="D4" s="801">
        <f>'结果表-住宅'!D118</f>
        <v>0</v>
      </c>
      <c r="E4" s="801">
        <f>'结果表-住宅'!E118</f>
        <v>0</v>
      </c>
      <c r="F4" s="801">
        <f>'结果表-住宅'!F118</f>
        <v>0</v>
      </c>
      <c r="G4" s="801">
        <f>'结果表-住宅'!G118</f>
        <v>0</v>
      </c>
      <c r="H4" s="801">
        <f ca="1">'结果表-住宅'!H118</f>
        <v>645</v>
      </c>
      <c r="I4" s="801">
        <f ca="1">'结果表-住宅'!I118</f>
        <v>34698</v>
      </c>
    </row>
    <row r="5" spans="1:9" ht="30" customHeight="1">
      <c r="A5" s="3190" t="s">
        <v>927</v>
      </c>
      <c r="B5" s="3190"/>
      <c r="C5" s="3190"/>
      <c r="D5" s="3190" t="str">
        <f>'结果表-住宅'!D119</f>
        <v>零元整</v>
      </c>
      <c r="E5" s="3190"/>
      <c r="F5" s="3190" t="str">
        <f>'结果表-住宅'!F119</f>
        <v>零元整</v>
      </c>
      <c r="G5" s="3190"/>
      <c r="H5" s="3190" t="str">
        <f ca="1">'结果表-住宅'!H119</f>
        <v>陆佰肆拾伍万元整</v>
      </c>
      <c r="I5" s="3190"/>
    </row>
    <row r="6" spans="1:9" ht="15.75">
      <c r="A6" s="3191" t="str">
        <f>'结果表-住宅'!A120</f>
        <v>估价师知悉的法定优先受偿款</v>
      </c>
      <c r="B6" s="3191"/>
      <c r="C6" s="3191"/>
      <c r="D6" s="3191">
        <f>'结果表-住宅'!D120</f>
        <v>0</v>
      </c>
      <c r="E6" s="3191"/>
      <c r="F6" s="3191"/>
      <c r="G6" s="3191"/>
      <c r="H6" s="3191"/>
      <c r="I6" s="3191"/>
    </row>
    <row r="7" spans="1:9" ht="15">
      <c r="A7" s="3190" t="s">
        <v>927</v>
      </c>
      <c r="B7" s="3190"/>
      <c r="C7" s="3190"/>
      <c r="D7" s="3192" t="str">
        <f>'结果表-住宅'!D121</f>
        <v>零元整</v>
      </c>
      <c r="E7" s="3193"/>
      <c r="F7" s="3193"/>
      <c r="G7" s="3193"/>
      <c r="H7" s="3193"/>
      <c r="I7" s="3194"/>
    </row>
    <row r="8" spans="1:9" ht="15.75">
      <c r="A8" s="3191" t="str">
        <f>'结果表-住宅'!A122</f>
        <v>房地产抵押价值</v>
      </c>
      <c r="B8" s="3191"/>
      <c r="C8" s="3191"/>
      <c r="D8" s="3191">
        <f ca="1">'结果表-住宅'!D122</f>
        <v>645</v>
      </c>
      <c r="E8" s="3191"/>
      <c r="F8" s="3191"/>
      <c r="G8" s="3191"/>
      <c r="H8" s="3191"/>
      <c r="I8" s="3191"/>
    </row>
    <row r="9" spans="1:9" ht="15">
      <c r="A9" s="3190" t="s">
        <v>927</v>
      </c>
      <c r="B9" s="3190"/>
      <c r="C9" s="3190"/>
      <c r="D9" s="3190" t="str">
        <f ca="1">'结果表-住宅'!D123</f>
        <v>陆佰肆拾伍万元整</v>
      </c>
      <c r="E9" s="3190"/>
      <c r="F9" s="3190"/>
      <c r="G9" s="3190"/>
      <c r="H9" s="3190"/>
      <c r="I9" s="3190"/>
    </row>
    <row r="10" spans="1:9" ht="15.75">
      <c r="A10" s="3191" t="str">
        <f>'结果表-住宅'!A124</f>
        <v/>
      </c>
      <c r="B10" s="3191"/>
      <c r="C10" s="3191"/>
      <c r="D10" s="3191" t="str">
        <f>'结果表-住宅'!D124</f>
        <v>——</v>
      </c>
      <c r="E10" s="3191"/>
      <c r="F10" s="3191"/>
      <c r="G10" s="3191"/>
      <c r="H10" s="3191"/>
      <c r="I10" s="3191"/>
    </row>
    <row r="11" spans="1:9" ht="15">
      <c r="A11" s="3190" t="s">
        <v>927</v>
      </c>
      <c r="B11" s="3190"/>
      <c r="C11" s="3190"/>
      <c r="D11" s="3190" t="e">
        <f>'结果表-住宅'!D125</f>
        <v>#VALUE!</v>
      </c>
      <c r="E11" s="3190"/>
      <c r="F11" s="3190"/>
      <c r="G11" s="3190"/>
      <c r="H11" s="3190"/>
      <c r="I11" s="3190"/>
    </row>
    <row r="12" spans="1:9" ht="15.75">
      <c r="A12" s="3191" t="str">
        <f>'结果表-住宅'!A126</f>
        <v/>
      </c>
      <c r="B12" s="3191"/>
      <c r="C12" s="3191"/>
      <c r="D12" s="3191" t="str">
        <f>'结果表-住宅'!D126</f>
        <v>——</v>
      </c>
      <c r="E12" s="3191"/>
      <c r="F12" s="3191"/>
      <c r="G12" s="3191"/>
      <c r="H12" s="3191"/>
      <c r="I12" s="3191"/>
    </row>
    <row r="13" spans="1:9" ht="15.75" thickBot="1">
      <c r="A13" s="3195" t="s">
        <v>927</v>
      </c>
      <c r="B13" s="3195"/>
      <c r="C13" s="3195"/>
      <c r="D13" s="3195" t="e">
        <f>'结果表-住宅'!D127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8" t="s">
        <v>3231</v>
      </c>
      <c r="B1" s="3498"/>
      <c r="C1" s="3498"/>
      <c r="D1" s="3498"/>
      <c r="E1" s="3498"/>
      <c r="F1" s="3499"/>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'基准地价修正-住宅'!G23</f>
        <v>45824</v>
      </c>
      <c r="B1" s="2928" t="s">
        <v>3376</v>
      </c>
      <c r="C1" s="2929"/>
      <c r="D1" s="2929"/>
      <c r="E1" s="2929"/>
      <c r="F1" s="2929"/>
      <c r="G1" s="2929"/>
      <c r="H1" s="2929"/>
      <c r="I1" s="2929"/>
      <c r="J1" s="2895"/>
      <c r="K1" s="2929" t="s">
        <v>454</v>
      </c>
      <c r="L1" s="2929"/>
      <c r="M1" s="2929"/>
      <c r="N1" s="2929"/>
      <c r="O1" s="2929"/>
      <c r="P1" s="2929"/>
      <c r="Q1" s="2895"/>
      <c r="R1" s="3500" t="s">
        <v>456</v>
      </c>
      <c r="S1" s="3501"/>
      <c r="T1" s="3501"/>
      <c r="U1" s="3501"/>
      <c r="V1" s="3501"/>
      <c r="W1" s="3501"/>
      <c r="X1" s="2895"/>
      <c r="Y1" s="3500" t="s">
        <v>457</v>
      </c>
      <c r="Z1" s="3501"/>
      <c r="AA1" s="3501"/>
      <c r="AB1" s="3501"/>
      <c r="AC1" s="3501"/>
      <c r="AD1" s="3501"/>
    </row>
    <row r="2" spans="1:44" s="2009" customFormat="1" ht="14.25" thickBot="1">
      <c r="B2" s="2880"/>
      <c r="C2" s="2881"/>
      <c r="D2" s="2010" t="s">
        <v>2809</v>
      </c>
      <c r="E2" s="2011" t="s">
        <v>2810</v>
      </c>
      <c r="F2" s="2011" t="s">
        <v>2811</v>
      </c>
      <c r="G2" s="2011" t="s">
        <v>2812</v>
      </c>
      <c r="H2" s="2011" t="s">
        <v>2813</v>
      </c>
      <c r="I2" s="2011" t="s">
        <v>2630</v>
      </c>
      <c r="J2" s="2882"/>
      <c r="K2" s="2010" t="s">
        <v>2809</v>
      </c>
      <c r="L2" s="2011" t="s">
        <v>2810</v>
      </c>
      <c r="M2" s="2011" t="s">
        <v>2811</v>
      </c>
      <c r="N2" s="2011" t="s">
        <v>2812</v>
      </c>
      <c r="O2" s="2011" t="s">
        <v>2814</v>
      </c>
      <c r="P2" s="2011" t="s">
        <v>2630</v>
      </c>
      <c r="Q2" s="2882"/>
      <c r="R2" s="2010" t="s">
        <v>2809</v>
      </c>
      <c r="S2" s="2011" t="s">
        <v>2810</v>
      </c>
      <c r="T2" s="2011" t="s">
        <v>2811</v>
      </c>
      <c r="U2" s="2011" t="s">
        <v>2815</v>
      </c>
      <c r="V2" s="2011" t="s">
        <v>2816</v>
      </c>
      <c r="W2" s="2011" t="s">
        <v>2630</v>
      </c>
      <c r="X2" s="2882"/>
      <c r="Y2" s="2010" t="s">
        <v>2809</v>
      </c>
      <c r="Z2" s="2011" t="s">
        <v>2810</v>
      </c>
      <c r="AA2" s="2011" t="s">
        <v>2811</v>
      </c>
      <c r="AB2" s="2011" t="s">
        <v>2817</v>
      </c>
      <c r="AC2" s="2011" t="s">
        <v>2816</v>
      </c>
      <c r="AD2" s="2011" t="s">
        <v>2630</v>
      </c>
      <c r="AF2" t="s">
        <v>3403</v>
      </c>
      <c r="AG2" t="s">
        <v>673</v>
      </c>
      <c r="AH2" t="s">
        <v>21</v>
      </c>
      <c r="AI2" t="s">
        <v>3404</v>
      </c>
      <c r="AJ2" t="s">
        <v>3</v>
      </c>
      <c r="AK2" t="s">
        <v>3405</v>
      </c>
      <c r="AM2" t="s">
        <v>3403</v>
      </c>
      <c r="AN2" t="s">
        <v>673</v>
      </c>
      <c r="AO2" t="s">
        <v>21</v>
      </c>
      <c r="AP2" t="s">
        <v>3404</v>
      </c>
      <c r="AQ2" t="s">
        <v>3</v>
      </c>
      <c r="AR2" t="s">
        <v>3405</v>
      </c>
    </row>
    <row r="3" spans="1:44" s="2885" customFormat="1" ht="12.75">
      <c r="A3" s="2883" t="s">
        <v>2818</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3402</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2.75">
      <c r="A6" s="2039" t="s">
        <v>3401</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3400</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3408</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2.75">
      <c r="A9" s="2039" t="s">
        <v>3407</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2.75">
      <c r="A10" s="2039" t="s">
        <v>3380</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2.75">
      <c r="A11" s="2904" t="s">
        <v>3374</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2.75">
      <c r="A12" s="2904" t="s">
        <v>3373</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2.75">
      <c r="A13" s="2904" t="s">
        <v>3369</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2.75">
      <c r="A14" s="2904" t="s">
        <v>3368</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2.75">
      <c r="A15" s="2904" t="s">
        <v>3366</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2.75">
      <c r="A16" s="2904" t="s">
        <v>3365</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2.75">
      <c r="A17" s="2904" t="s">
        <v>3364</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2.75">
      <c r="A18" s="2904" t="s">
        <v>3362</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2.75">
      <c r="A19" s="2904" t="s">
        <v>3353</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2.75">
      <c r="A20" s="2904" t="s">
        <v>2819</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2.75">
      <c r="A21" s="2904" t="s">
        <v>2820</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2.75">
      <c r="A22" s="2904" t="s">
        <v>2821</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2.75">
      <c r="A23" s="2904" t="s">
        <v>2822</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2823</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3379</v>
      </c>
    </row>
    <row r="27" spans="1:44">
      <c r="I27" s="1405" t="s">
        <v>2824</v>
      </c>
    </row>
    <row r="29" spans="1:44" s="2008" customFormat="1" ht="12.75">
      <c r="B29" s="2928" t="s">
        <v>3377</v>
      </c>
      <c r="C29" s="2929"/>
      <c r="D29" s="2929"/>
      <c r="E29" s="2929"/>
      <c r="F29" s="2929"/>
      <c r="G29" s="2929"/>
      <c r="H29" s="2929"/>
      <c r="I29" s="2929"/>
      <c r="J29" s="2895"/>
      <c r="K29" s="2929" t="s">
        <v>2825</v>
      </c>
      <c r="L29" s="2929"/>
      <c r="M29" s="2929"/>
      <c r="N29" s="2929"/>
      <c r="O29" s="2929"/>
      <c r="P29" s="2929"/>
      <c r="Q29" s="2895"/>
      <c r="R29" s="3500" t="s">
        <v>2826</v>
      </c>
      <c r="S29" s="3501"/>
      <c r="T29" s="3501"/>
      <c r="U29" s="3501"/>
      <c r="V29" s="3501"/>
      <c r="W29" s="3501"/>
      <c r="X29" s="2895"/>
      <c r="Y29" s="3500" t="s">
        <v>2827</v>
      </c>
      <c r="Z29" s="3501"/>
      <c r="AA29" s="3501"/>
      <c r="AB29" s="3501"/>
      <c r="AC29" s="3501"/>
      <c r="AD29" s="3501"/>
    </row>
    <row r="30" spans="1:44" s="2009" customFormat="1" ht="14.25" thickBot="1">
      <c r="B30" s="2880"/>
      <c r="C30" s="2881"/>
      <c r="D30" s="2010" t="s">
        <v>2828</v>
      </c>
      <c r="E30" s="2011" t="s">
        <v>2829</v>
      </c>
      <c r="F30" s="2011" t="s">
        <v>2830</v>
      </c>
      <c r="G30" s="2011" t="s">
        <v>2831</v>
      </c>
      <c r="H30" s="2011"/>
      <c r="I30" s="2011" t="s">
        <v>2832</v>
      </c>
      <c r="J30" s="2882"/>
      <c r="K30" s="2010" t="s">
        <v>2828</v>
      </c>
      <c r="L30" s="2011" t="s">
        <v>2829</v>
      </c>
      <c r="M30" s="2011" t="s">
        <v>2830</v>
      </c>
      <c r="N30" s="2011" t="s">
        <v>2831</v>
      </c>
      <c r="O30" s="2011"/>
      <c r="P30" s="2011" t="s">
        <v>2832</v>
      </c>
      <c r="Q30" s="2882"/>
      <c r="R30" s="2010" t="s">
        <v>2828</v>
      </c>
      <c r="S30" s="2011" t="s">
        <v>2829</v>
      </c>
      <c r="T30" s="2011" t="s">
        <v>2830</v>
      </c>
      <c r="U30" s="2011" t="s">
        <v>2831</v>
      </c>
      <c r="V30" s="2011"/>
      <c r="W30" s="2011" t="s">
        <v>2832</v>
      </c>
      <c r="X30" s="2882"/>
      <c r="Y30" s="2010" t="s">
        <v>2828</v>
      </c>
      <c r="Z30" s="2011" t="s">
        <v>2829</v>
      </c>
      <c r="AA30" s="2011" t="s">
        <v>2830</v>
      </c>
      <c r="AB30" s="2011" t="s">
        <v>2831</v>
      </c>
      <c r="AC30" s="2011"/>
      <c r="AD30" s="2011" t="s">
        <v>2832</v>
      </c>
      <c r="AG30" t="s">
        <v>673</v>
      </c>
      <c r="AH30" t="s">
        <v>21</v>
      </c>
      <c r="AI30" t="s">
        <v>3404</v>
      </c>
      <c r="AJ30"/>
      <c r="AK30" t="s">
        <v>3405</v>
      </c>
      <c r="AN30" t="s">
        <v>673</v>
      </c>
      <c r="AO30" t="s">
        <v>21</v>
      </c>
      <c r="AP30" t="s">
        <v>3404</v>
      </c>
      <c r="AQ30"/>
      <c r="AR30" t="s">
        <v>3405</v>
      </c>
    </row>
    <row r="31" spans="1:44" s="2885" customFormat="1" ht="12.75">
      <c r="A31" s="2883" t="s">
        <v>2833</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3402</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2.75">
      <c r="A34" s="2039" t="s">
        <v>3401</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3409</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3406</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2.75">
      <c r="A37" s="2039" t="s">
        <v>3407</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2.75">
      <c r="A38" s="2039" t="s">
        <v>3371</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2.75">
      <c r="A39" s="2904" t="s">
        <v>3375</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2.75">
      <c r="A40" s="2904" t="s">
        <v>3372</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2.75">
      <c r="A41" s="2904" t="s">
        <v>3370</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2.75">
      <c r="A42" s="2904" t="s">
        <v>3368</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2.75">
      <c r="A43" s="2904" t="s">
        <v>3367</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2.75">
      <c r="A44" s="2904" t="s">
        <v>3365</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2.75">
      <c r="A45" s="2904" t="s">
        <v>3364</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2.75">
      <c r="A46" s="2904" t="s">
        <v>3363</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2.75">
      <c r="A47" s="2904" t="s">
        <v>3353</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2.75">
      <c r="A48" s="2904" t="s">
        <v>2834</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2.75">
      <c r="A49" s="2904" t="s">
        <v>2835</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2.75">
      <c r="A50" s="2904" t="s">
        <v>2836</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2.75">
      <c r="A51" s="2904" t="s">
        <v>2837</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2823</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3" t="s">
        <v>2838</v>
      </c>
      <c r="B1" s="3513"/>
      <c r="C1" s="3513"/>
      <c r="D1" s="3513"/>
      <c r="E1" s="3513"/>
      <c r="F1" s="3513"/>
      <c r="G1" s="3514"/>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511"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 thickBot="1">
      <c r="A4" s="3512"/>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7" t="s">
        <v>949</v>
      </c>
      <c r="B1" s="3197"/>
      <c r="C1" s="3197"/>
      <c r="D1" s="3197"/>
    </row>
    <row r="2" spans="1:4" ht="18">
      <c r="A2" s="3198" t="s">
        <v>933</v>
      </c>
      <c r="B2" s="3198"/>
      <c r="C2" s="3198"/>
      <c r="D2" s="319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9"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IF(项目基本情况!B8="抵押",'结果表-住宅'!K120,"——")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1" t="s">
        <v>956</v>
      </c>
      <c r="B15" s="3206" t="s">
        <v>109</v>
      </c>
      <c r="C15" s="3207"/>
    </row>
    <row r="16" spans="1:7" ht="13.5">
      <c r="A16" s="3212"/>
      <c r="B16" s="3206" t="s">
        <v>42</v>
      </c>
      <c r="C16" s="3207"/>
    </row>
    <row r="17" spans="1:3" ht="13.5">
      <c r="A17" s="3212"/>
      <c r="B17" s="3209" t="s">
        <v>957</v>
      </c>
      <c r="C17" s="1429" t="s">
        <v>956</v>
      </c>
    </row>
    <row r="18" spans="1:3" ht="13.5">
      <c r="A18" s="3212"/>
      <c r="B18" s="3209"/>
      <c r="C18" s="1429" t="s">
        <v>958</v>
      </c>
    </row>
    <row r="19" spans="1:3" ht="13.5">
      <c r="A19" s="3212"/>
      <c r="B19" s="3209"/>
      <c r="C19" s="1429" t="s">
        <v>959</v>
      </c>
    </row>
    <row r="20" spans="1:3" ht="13.5">
      <c r="A20" s="3213"/>
      <c r="B20" s="3208" t="s">
        <v>960</v>
      </c>
      <c r="C20" s="3207"/>
    </row>
    <row r="21" spans="1:3" ht="13.5">
      <c r="A21" s="1430" t="s">
        <v>961</v>
      </c>
      <c r="B21" s="1431"/>
      <c r="C21" s="1432"/>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9" t="s">
        <v>967</v>
      </c>
    </row>
    <row r="26" spans="1:3" ht="13.5">
      <c r="A26" s="3210"/>
      <c r="B26" s="3209"/>
      <c r="C26" s="1429" t="s">
        <v>968</v>
      </c>
    </row>
    <row r="27" spans="1:3" ht="13.5">
      <c r="A27" s="3210"/>
      <c r="B27" s="3209"/>
      <c r="C27" s="1429" t="s">
        <v>969</v>
      </c>
    </row>
    <row r="28" spans="1:3" ht="13.5">
      <c r="A28" s="3210"/>
      <c r="B28" s="3209"/>
      <c r="C28" s="1429" t="s">
        <v>970</v>
      </c>
    </row>
    <row r="29" spans="1:3" ht="13.5">
      <c r="A29" s="3210"/>
      <c r="B29" s="3209"/>
      <c r="C29" s="1429" t="s">
        <v>971</v>
      </c>
    </row>
    <row r="30" spans="1:3" ht="13.5">
      <c r="A30" s="3210"/>
      <c r="B30" s="3209"/>
      <c r="C30" s="1429" t="s">
        <v>972</v>
      </c>
    </row>
    <row r="31" spans="1:3" ht="13.5">
      <c r="A31" s="3210"/>
      <c r="B31" s="3209"/>
      <c r="C31" s="1429" t="s">
        <v>973</v>
      </c>
    </row>
    <row r="32" spans="1:3" ht="13.5">
      <c r="A32" s="3210"/>
      <c r="B32" s="3209"/>
      <c r="C32" s="1429" t="s">
        <v>974</v>
      </c>
    </row>
    <row r="33" spans="1:3" ht="13.5">
      <c r="A33" s="3210"/>
      <c r="B33" s="320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45824</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4" t="s">
        <v>2159</v>
      </c>
      <c r="B17" s="3214"/>
      <c r="C17" s="3214"/>
      <c r="D17" s="3214"/>
      <c r="E17" s="3214"/>
      <c r="F17" s="3214"/>
      <c r="G17" s="3214"/>
      <c r="H17" s="3214"/>
    </row>
    <row r="18" spans="1:8" ht="24" customHeight="1">
      <c r="A18" s="3215" t="s">
        <v>2160</v>
      </c>
      <c r="B18" s="3215"/>
      <c r="C18" s="3215"/>
      <c r="D18" s="2159"/>
      <c r="E18" s="3216" t="s">
        <v>2161</v>
      </c>
      <c r="F18" s="3215"/>
      <c r="G18" s="3215"/>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81" priority="32" stopIfTrue="1" operator="equal">
      <formula>"已过期"</formula>
    </cfRule>
  </conditionalFormatting>
  <conditionalFormatting sqref="B4:B15">
    <cfRule type="cellIs" dxfId="180" priority="4" stopIfTrue="1" operator="equal">
      <formula>"已过期"</formula>
    </cfRule>
  </conditionalFormatting>
  <conditionalFormatting sqref="C7:C12">
    <cfRule type="expression" dxfId="179" priority="22">
      <formula>AND($C7-TODAY()&lt;30,TODAY()&lt;$C7)</formula>
    </cfRule>
    <cfRule type="cellIs" dxfId="178" priority="23" stopIfTrue="1" operator="lessThan">
      <formula>$B$2</formula>
    </cfRule>
  </conditionalFormatting>
  <conditionalFormatting sqref="C14:C15">
    <cfRule type="expression" dxfId="177" priority="7">
      <formula>AND($C14-TODAY()&lt;30,TODAY()&lt;$C14)</formula>
    </cfRule>
    <cfRule type="cellIs" dxfId="176" priority="8" stopIfTrue="1" operator="lessThan">
      <formula>$B$2</formula>
    </cfRule>
  </conditionalFormatting>
  <conditionalFormatting sqref="C4:D6 D14">
    <cfRule type="cellIs" dxfId="175" priority="50" stopIfTrue="1" operator="lessThan">
      <formula>$B$2</formula>
    </cfRule>
  </conditionalFormatting>
  <conditionalFormatting sqref="C12:D13">
    <cfRule type="expression" dxfId="174" priority="47">
      <formula>AND($C12-TODAY()&lt;30,TODAY()&lt;$C12)</formula>
    </cfRule>
  </conditionalFormatting>
  <conditionalFormatting sqref="C13:D14">
    <cfRule type="expression" dxfId="173" priority="18">
      <formula>AND($C13-TODAY()&lt;30,TODAY()&lt;$C13)</formula>
    </cfRule>
    <cfRule type="cellIs" dxfId="172" priority="19" stopIfTrue="1" operator="lessThan">
      <formula>$B$2</formula>
    </cfRule>
  </conditionalFormatting>
  <conditionalFormatting sqref="C15:D15">
    <cfRule type="expression" dxfId="171" priority="5">
      <formula>AND($C15-TODAY()&lt;30,TODAY()&lt;$C15)</formula>
    </cfRule>
    <cfRule type="cellIs" dxfId="170" priority="6" stopIfTrue="1" operator="lessThan">
      <formula>$B$2</formula>
    </cfRule>
  </conditionalFormatting>
  <conditionalFormatting sqref="C20:D20 C13:D13">
    <cfRule type="cellIs" dxfId="169" priority="54" stopIfTrue="1" operator="lessThan">
      <formula>$B$2</formula>
    </cfRule>
  </conditionalFormatting>
  <conditionalFormatting sqref="C20:D20">
    <cfRule type="expression" dxfId="168" priority="52">
      <formula>AND($C20-TODAY()&lt;30,TODAY()&lt;$C20)</formula>
    </cfRule>
  </conditionalFormatting>
  <conditionalFormatting sqref="D7:D12 D16">
    <cfRule type="expression" dxfId="167" priority="53">
      <formula>AND($C7-TODAY()&lt;30,TODAY()&lt;$C7)</formula>
    </cfRule>
  </conditionalFormatting>
  <conditionalFormatting sqref="D7:D12">
    <cfRule type="cellIs" dxfId="166" priority="48" stopIfTrue="1" operator="lessThan">
      <formula>$B$2</formula>
    </cfRule>
  </conditionalFormatting>
  <conditionalFormatting sqref="D14 C4:D6">
    <cfRule type="expression" dxfId="165" priority="49">
      <formula>AND($C4-TODAY()&lt;30,TODAY()&lt;$C4)</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E16:G16">
    <cfRule type="cellIs" dxfId="162" priority="31" stopIfTrue="1" operator="equal">
      <formula>"已过期"</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 (元)</vt:lpstr>
      <vt:lpstr>假设开发法</vt:lpstr>
      <vt:lpstr>比较法-住宅</vt:lpstr>
      <vt:lpstr>收益法</vt:lpstr>
      <vt:lpstr>典型户型修正</vt:lpstr>
      <vt:lpstr>收益法-酒店模型</vt:lpstr>
      <vt:lpstr>收益法（汇总）</vt:lpstr>
      <vt:lpstr>比较法-商业</vt:lpstr>
      <vt:lpstr>比较法-办公</vt:lpstr>
      <vt:lpstr>比较法-工业</vt:lpstr>
      <vt:lpstr>结果表 -车位</vt:lpstr>
      <vt:lpstr>比较法-车位</vt:lpstr>
      <vt:lpstr>收益法 (元)</vt:lpstr>
      <vt:lpstr>面积信息</vt:lpstr>
      <vt:lpstr>售价案例</vt:lpstr>
      <vt:lpstr>住宅租金案例</vt:lpstr>
      <vt:lpstr>中指案例</vt:lpstr>
      <vt:lpstr>成本法-住宅</vt:lpstr>
      <vt:lpstr>基准地价修正-住宅</vt:lpstr>
      <vt:lpstr>成本法-车位</vt:lpstr>
      <vt:lpstr>基准地价修正-车位</vt:lpstr>
      <vt:lpstr>比较法-仓储</vt:lpstr>
      <vt:lpstr>土地比较法-住宅、综合</vt:lpstr>
      <vt:lpstr>土地比较法-工业</vt:lpstr>
      <vt:lpstr>收益法 （车位）</vt:lpstr>
      <vt:lpstr>基准地价（汇总）</vt:lpstr>
      <vt:lpstr>Sheet7</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收益法!Print_Area</vt:lpstr>
      <vt:lpstr>'收益法 （车位）'!Print_Area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2025-06-16T07:35:19Z</dcterms:modified>
</cp:coreProperties>
</file>