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2.xml" ContentType="application/vnd.openxmlformats-officedocument.drawing+xml"/>
  <Override PartName="/xl/comments17.xml" ContentType="application/vnd.openxmlformats-officedocument.spreadsheetml.comments+xml"/>
  <Override PartName="/xl/drawings/drawing3.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未售清单"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土地比较法-住宅、综合" sheetId="39" r:id="rId22"/>
    <sheet name="土地案例" sheetId="81" r:id="rId23"/>
    <sheet name="假设开发法" sheetId="12" r:id="rId24"/>
    <sheet name="收益法" sheetId="15" state="hidden" r:id="rId25"/>
    <sheet name="收益法 (元)" sheetId="67" state="hidden" r:id="rId26"/>
    <sheet name="收益法-酒店模型" sheetId="77" state="hidden" r:id="rId27"/>
    <sheet name="收益法（汇总）" sheetId="70" state="hidden" r:id="rId28"/>
    <sheet name="比较法-住宅" sheetId="21" r:id="rId29"/>
    <sheet name="比较法-商业" sheetId="33" state="hidden" r:id="rId30"/>
    <sheet name="比较法-办公" sheetId="34" state="hidden" r:id="rId31"/>
    <sheet name="比较法-工业" sheetId="37" state="hidden" r:id="rId32"/>
    <sheet name="住宅售价" sheetId="82" r:id="rId33"/>
    <sheet name="比较法-仓储下跃" sheetId="36" r:id="rId34"/>
    <sheet name="仓储售价" sheetId="83" r:id="rId35"/>
    <sheet name="比较法-车位" sheetId="35" r:id="rId36"/>
    <sheet name="土地比较法-工业" sheetId="40" state="hidden" r:id="rId37"/>
    <sheet name="典型户型修正" sheetId="31" state="hidden" r:id="rId38"/>
    <sheet name="基准地价（汇总）" sheetId="76" state="hidden" r:id="rId39"/>
    <sheet name="车位售价" sheetId="84" r:id="rId40"/>
    <sheet name="基准地价修正" sheetId="43"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state="hidden" r:id="rId48"/>
    <sheet name="地价" sheetId="71" state="hidden" r:id="rId49"/>
    <sheet name="存贷款利率" sheetId="73" state="hidden" r:id="rId50"/>
  </sheets>
  <externalReferences>
    <externalReference r:id="rId51"/>
    <externalReference r:id="rId52"/>
  </externalReferences>
  <definedNames>
    <definedName name="_xlnm._FilterDatabase" localSheetId="30" hidden="1">'比较法-办公'!$A$1:$L$50</definedName>
    <definedName name="_xlnm._FilterDatabase" localSheetId="33" hidden="1">'比较法-仓储下跃'!$A$1:$L$37</definedName>
    <definedName name="_xlnm._FilterDatabase" localSheetId="35"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'比较法-仓储下跃'!$A$1:$K$42,'比较法-仓储下跃'!$A$45:$M$96</definedName>
    <definedName name="_xlnm.Print_Area" localSheetId="35">'比较法-车位'!$A$1:$K$44,'比较法-车位'!$A$47:$M$102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0">基准地价修正!$A$1:$J$44,基准地价修正!$A$47:$H$101,基准地价修正!$R$1:$V$16</definedName>
    <definedName name="_xlnm.Print_Area" localSheetId="23">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6">'土地比较法-工业'!$A$1:$K$61,'土地比较法-工业'!$A$64:$M$121</definedName>
    <definedName name="_xlnm.Print_Area" localSheetId="21">'土地比较法-住宅、综合'!$A$1:$K$65,'土地比较法-住宅、综合'!$A$68:$M$131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2">'[1]不动产比较法-办公'!$B$119:$M$119</definedName>
    <definedName name="办公层高">'比较法-办公'!$B$119:$M$119</definedName>
    <definedName name="办公朝向" localSheetId="22">'[1]不动产比较法-办公'!$B$91:$M$91</definedName>
    <definedName name="办公朝向">'比较法-办公'!$B$91:$M$91</definedName>
    <definedName name="办公道路级别" localSheetId="22">'[1]不动产比较法-办公'!$B$87:$M$87</definedName>
    <definedName name="办公道路级别">'比较法-办公'!$B$87:$M$87</definedName>
    <definedName name="办公公共部分装修" localSheetId="22">'[1]不动产比较法-办公'!$B$108:$M$108</definedName>
    <definedName name="办公公共部分装修">'比较法-办公'!$B$108:$M$108</definedName>
    <definedName name="办公基础设施水平" localSheetId="22">'[1]不动产比较法-办公'!$B$117:$M$117</definedName>
    <definedName name="办公基础设施水平">'比较法-办公'!$B$117:$M$117</definedName>
    <definedName name="办公集聚程度" localSheetId="22">[1]定义!$M$1:$M$6</definedName>
    <definedName name="办公集聚程度">定义!$M$1:$M$6</definedName>
    <definedName name="办公建筑结构" localSheetId="22">'[1]不动产比较法-办公'!$B$106:$M$106</definedName>
    <definedName name="办公建筑结构">'比较法-办公'!$B$106:$M$106</definedName>
    <definedName name="办公建筑类型" localSheetId="22">'[1]不动产比较法-办公'!$B$101:$M$101</definedName>
    <definedName name="办公建筑类型">'比较法-办公'!$B$101:$M$101</definedName>
    <definedName name="办公交易情况" localSheetId="22">'[1]不动产比较法-办公'!$A$62:$M$62</definedName>
    <definedName name="办公交易情况">'比较法-办公'!$A$62:$M$62</definedName>
    <definedName name="办公楼层" localSheetId="22">'[1]不动产比较法-办公'!$B$89:$M$89</definedName>
    <definedName name="办公楼层">'比较法-办公'!$B$89:$M$89</definedName>
    <definedName name="办公内部装修" localSheetId="22">'[1]不动产比较法-办公'!$B$123:$M$123</definedName>
    <definedName name="办公内部装修">'比较法-办公'!$B$123:$M$123</definedName>
    <definedName name="办公物业管理" localSheetId="22">'[1]不动产比较法-办公'!$B$115:$M$115</definedName>
    <definedName name="办公物业管理">'比较法-办公'!$B$115:$M$115</definedName>
    <definedName name="办公用途" localSheetId="22">'[1]不动产比较法-办公'!$B$64:$M$64</definedName>
    <definedName name="办公用途">'比较法-办公'!$B$64:$M$64</definedName>
    <definedName name="仓储公共部分装修" localSheetId="22">'[1]不动产比较法-仓储'!$B$77:$M$77</definedName>
    <definedName name="仓储公共部分装修">'比较法-仓储下跃'!$B$77:$M$77</definedName>
    <definedName name="仓储交易情况" localSheetId="22">'[1]不动产比较法-仓储'!$A$49:$M$49</definedName>
    <definedName name="仓储交易情况">'比较法-仓储下跃'!$A$49:$M$49</definedName>
    <definedName name="仓储楼层" localSheetId="22">'[1]不动产比较法-仓储'!$B$69:$M$69</definedName>
    <definedName name="仓储楼层">'比较法-仓储下跃'!$B$69:$M$69</definedName>
    <definedName name="仓储物业等级" localSheetId="22">'[1]不动产比较法-仓储'!$B$82:$M$82</definedName>
    <definedName name="仓储物业等级">'比较法-仓储下跃'!$B$82:$M$82</definedName>
    <definedName name="仓储用途" localSheetId="22">'[1]不动产比较法-仓储'!$B$51:$M$51</definedName>
    <definedName name="仓储用途">'比较法-仓储下跃'!$B$51:$M$51</definedName>
    <definedName name="产业集聚程度" localSheetId="22">[1]定义!$N$1:$N$6</definedName>
    <definedName name="产业集聚程度">定义!$N$1:$N$6</definedName>
    <definedName name="车位公共部分装修" localSheetId="22">'[1]不动产比较法-车位'!$B$83:$M$83</definedName>
    <definedName name="车位公共部分装修">'比较法-车位'!$B$83:$M$83</definedName>
    <definedName name="车位交易情况" localSheetId="22">'[1]不动产比较法-车位'!$A$51:$M$51</definedName>
    <definedName name="车位交易情况">'比较法-车位'!$A$51:$M$51</definedName>
    <definedName name="车位类型" localSheetId="22">'[1]不动产比较法-车位'!$B$93:$M$93</definedName>
    <definedName name="车位类型">'比较法-车位'!$B$93:$M$93</definedName>
    <definedName name="车位楼层" localSheetId="22">'[1]不动产比较法-车位'!$B$71:$M$71</definedName>
    <definedName name="车位楼层">'比较法-车位'!$B$71:$M$71</definedName>
    <definedName name="车位配套类型" localSheetId="22">'[1]不动产比较法-车位'!$B$79:$M$79</definedName>
    <definedName name="车位配套类型">'比较法-车位'!$B$79:$M$79</definedName>
    <definedName name="车位物业等级" localSheetId="22">'[1]不动产比较法-车位'!$B$88:$M$88</definedName>
    <definedName name="车位物业等级">'比较法-车位'!$B$88:$M$88</definedName>
    <definedName name="车位用途" localSheetId="22">'[1]不动产比较法-车位'!$B$53:$M$53</definedName>
    <definedName name="车位用途">'比较法-车位'!$B$53:$M$53</definedName>
    <definedName name="城镇土地纳税等级分级范围" localSheetId="22">'[1]数据-取费表'!$A$53:$A$63</definedName>
    <definedName name="城镇土地纳税等级分级范围">'数据-取费表'!$A$53:$A$63</definedName>
    <definedName name="单价内涵" localSheetId="22">[1]定义!$V$1:$V$3</definedName>
    <definedName name="单价内涵">定义!$V$1:$V$3</definedName>
    <definedName name="地类判定" localSheetId="22">[1]定义!$H$1:$H$9</definedName>
    <definedName name="地类判定">定义!$H$1:$H$9</definedName>
    <definedName name="二级">区片价!$J$1:$J$21</definedName>
    <definedName name="二级分类" localSheetId="22">[1]修正!$C$19:$C$51</definedName>
    <definedName name="二级分类">修正!$C$19:$C$51</definedName>
    <definedName name="法定最高年限" localSheetId="22">[1]定义!$G$2:$G$5</definedName>
    <definedName name="法定最高年限">定义!$G$1:$G$6</definedName>
    <definedName name="工业公共部分装修" localSheetId="22">'[1]不动产比较法-工业'!$B$95:$M$95</definedName>
    <definedName name="工业公共部分装修">'比较法-工业'!$B$95:$M$95</definedName>
    <definedName name="工业基础设施水平" localSheetId="22">'[1]不动产比较法-工业'!$B$102:$M$102</definedName>
    <definedName name="工业基础设施水平">'比较法-工业'!$B$102:$M$102</definedName>
    <definedName name="工业建筑结构" localSheetId="22">'[1]不动产比较法-工业'!$B$93:$M$93</definedName>
    <definedName name="工业建筑结构">'比较法-工业'!$B$93:$M$93</definedName>
    <definedName name="工业建筑类型" localSheetId="22">'[1]不动产比较法-工业'!$B$88:$M$88</definedName>
    <definedName name="工业建筑类型">'比较法-工业'!$B$88:$M$88</definedName>
    <definedName name="工业交易情况" localSheetId="22">'[1]不动产比较法-工业'!$A$55:$M$55</definedName>
    <definedName name="工业交易情况">'比较法-工业'!$A$55:$M$55</definedName>
    <definedName name="工业内部装修" localSheetId="22">'[1]不动产比较法-工业'!$B$104:$M$104</definedName>
    <definedName name="工业内部装修">'比较法-工业'!$B$104:$M$104</definedName>
    <definedName name="工业物业管理" localSheetId="22">'[1]不动产比较法-工业'!$B$100:$M$100</definedName>
    <definedName name="工业物业管理">'比较法-工业'!$B$100:$M$100</definedName>
    <definedName name="工业用途" localSheetId="22">'[1]不动产比较法-工业'!$B$57:$M$57</definedName>
    <definedName name="工业用途">'比较法-工业'!$B$57:$M$57</definedName>
    <definedName name="公共配套设施" localSheetId="22">[1]定义!$Q$1:$Q$6</definedName>
    <definedName name="公共配套设施">定义!$Q$1:$Q$6</definedName>
    <definedName name="估价范围判定" localSheetId="22">[1]定义!$D$1:$D$4</definedName>
    <definedName name="估价范围判定">定义!$D$1:$D$4</definedName>
    <definedName name="估价方法" localSheetId="22">[1]定义!$B$1:$B$50</definedName>
    <definedName name="估价方法">定义!$B$1:$B$50</definedName>
    <definedName name="环境" localSheetId="22">[1]定义!$S$1:$S$6</definedName>
    <definedName name="环境">定义!$S$1:$S$6</definedName>
    <definedName name="基础设施水平" localSheetId="22">[1]定义!$R$1:$R$6</definedName>
    <definedName name="基础设施水平">定义!$R$1:$R$6</definedName>
    <definedName name="季度">基准地价修正!$Q$19:$AD$19</definedName>
    <definedName name="价值类型2" localSheetId="22">[1]定义!$B$54:$B$56</definedName>
    <definedName name="价值类型2">定义!$B$54:$B$56</definedName>
    <definedName name="交通便捷度" localSheetId="22">[1]定义!$O$1:$O$6</definedName>
    <definedName name="交通便捷度">定义!$O$1:$O$6</definedName>
    <definedName name="九级">区片价!$Q$1:$Q$51</definedName>
    <definedName name="居住社区成熟度" localSheetId="22">[1]定义!$K$1:$K$6</definedName>
    <definedName name="居住社区成熟度">定义!$K$1:$K$6</definedName>
    <definedName name="类别" localSheetId="22">[1]定义!$J$1:$J$3</definedName>
    <definedName name="类别">定义!$J$1:$J$3</definedName>
    <definedName name="临街状况" localSheetId="22">[1]定义!$T$1:$T$5</definedName>
    <definedName name="临街状况">定义!$T$1:$T$5</definedName>
    <definedName name="六级">区片价!$N$1:$N$64</definedName>
    <definedName name="内部装修维护情况" localSheetId="22">[1]定义!$U$1:$U$6</definedName>
    <definedName name="内部装修维护情况">定义!$U$1:$U$6</definedName>
    <definedName name="七级">区片价!$O$1:$O$45</definedName>
    <definedName name="七通一平" localSheetId="22">[1]修正!$A$8:$A$16</definedName>
    <definedName name="七通一平">修正!$A$8:$A$16</definedName>
    <definedName name="区域土地利用方向" localSheetId="22">[1]定义!$P$1:$P$6</definedName>
    <definedName name="区域土地利用方向">定义!$P$1:$P$6</definedName>
    <definedName name="三级">区片价!$K$1:$K$26</definedName>
    <definedName name="商业层高" localSheetId="22">'[1]不动产比较法-商业'!$B$116:$M$116</definedName>
    <definedName name="商业层高">'比较法-商业'!$B$116:$M$116</definedName>
    <definedName name="商业成新度">'比较法-商业'!$B$109:$M$109</definedName>
    <definedName name="商业繁华度" localSheetId="22">[1]定义!$L$1:$L$6</definedName>
    <definedName name="商业繁华度">定义!$L$1:$L$6</definedName>
    <definedName name="商业公共部分装修" localSheetId="22">'[1]不动产比较法-商业'!$B$107:$M$107</definedName>
    <definedName name="商业公共部分装修">'比较法-商业'!$B$107:$M$107</definedName>
    <definedName name="商业基础设施水平" localSheetId="22">'[1]不动产比较法-商业'!$B$112:$M$112</definedName>
    <definedName name="商业基础设施水平">'比较法-商业'!$B$112:$M$112</definedName>
    <definedName name="商业建筑结构" localSheetId="22">'[1]不动产比较法-商业'!$B$105:$M$105</definedName>
    <definedName name="商业建筑结构">'比较法-商业'!$B$105:$M$105</definedName>
    <definedName name="商业交易情况" localSheetId="22">'[1]不动产比较法-商业'!$A$61:$M$61</definedName>
    <definedName name="商业交易情况">'比较法-商业'!$A$61:$M$61</definedName>
    <definedName name="商业街名称" localSheetId="22">[1]修正!$C$71:$C$139</definedName>
    <definedName name="商业街名称">修正!$C$71:$C$138</definedName>
    <definedName name="商业进深比" localSheetId="22">'[1]不动产比较法-商业'!$B$120:$M$120</definedName>
    <definedName name="商业进深比">'比较法-商业'!$B$120:$M$120</definedName>
    <definedName name="商业类型" localSheetId="22">'[1]不动产比较法-商业'!$B$100:$M$100</definedName>
    <definedName name="商业类型">'比较法-商业'!$B$100:$M$100</definedName>
    <definedName name="商业临街状况" localSheetId="22">'[1]不动产比较法-商业'!$B$86:$M$86</definedName>
    <definedName name="商业临街状况">'比较法-商业'!$B$86:$M$86</definedName>
    <definedName name="商业楼层" localSheetId="22">'[1]不动产比较法-商业'!$B$92:$M$92</definedName>
    <definedName name="商业楼层">'比较法-商业'!$B$92:$M$92</definedName>
    <definedName name="商业内部装修" localSheetId="22">'[1]不动产比较法-商业'!$B$122:$M$122</definedName>
    <definedName name="商业内部装修">'比较法-商业'!$B$122:$M$122</definedName>
    <definedName name="商业人流量" localSheetId="22">'[1]不动产比较法-商业'!$B$90:$M$90</definedName>
    <definedName name="商业人流量">'比较法-商业'!$B$90:$M$90</definedName>
    <definedName name="商业业态" localSheetId="22">'[1]不动产比较法-商业'!$B$114:$M$114</definedName>
    <definedName name="商业业态">'比较法-商业'!$B$114:$M$114</definedName>
    <definedName name="商业用途" localSheetId="22">'[1]不动产比较法-商业'!$B$63:$M$63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2">'[1]不动产比较法-仓储'!$B$89:$M$89</definedName>
    <definedName name="是否封闭">'比较法-仓储下跃'!$B$89:$M$89</definedName>
    <definedName name="是否直接入户" localSheetId="22">'[1]不动产比较法-车位'!$B$95:$M$95</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工程地质条件">'[1]比较法-工业'!$B$115:$M$115</definedName>
    <definedName name="套工交易情况" localSheetId="22">'[1]比较法-住宅、综合'!$A$74:$M$74</definedName>
    <definedName name="套工交易情况">'土地比较法-住宅、综合'!$A$72:$M$72</definedName>
    <definedName name="套工开发程度">'[1]比较法-工业'!$B$113:$M$113</definedName>
    <definedName name="套工临街等级">'[1]比较法-工业'!$B$98:$M$98</definedName>
    <definedName name="套工土地级别" localSheetId="22">'[1]比较法-工业'!$B$100:$M$100</definedName>
    <definedName name="套工土地级别">'土地比较法-工业'!$B$99:$M$99</definedName>
    <definedName name="套工用途" localSheetId="22">'[1]比较法-工业'!$B$71:$M$71</definedName>
    <definedName name="套工用途">'土地比较法-工业'!$B$70:$M$70</definedName>
    <definedName name="套工宗地开发程度">'土地比较法-工业'!$B$112:$M$112</definedName>
    <definedName name="套工宗地形状" localSheetId="22">'[1]比较法-工业'!$B$111:$M$111</definedName>
    <definedName name="套工宗地形状">'土地比较法-工业'!$B$110:$M$110</definedName>
    <definedName name="套综道路等级" localSheetId="22">'[1]比较法-住宅、综合'!$B$107:$M$107</definedName>
    <definedName name="套综道路等级">'土地比较法-住宅、综合'!$B$105:$M$105</definedName>
    <definedName name="套综工程地质条件" localSheetId="22">'[1]比较法-住宅、综合'!$B$126:$M$126</definedName>
    <definedName name="套综工程地质条件">'土地比较法-住宅、综合'!$B$124:$M$124</definedName>
    <definedName name="套综交易情况" localSheetId="22">'[1]比较法-住宅、综合'!$A$74:$M$74</definedName>
    <definedName name="套综交易情况">'土地比较法-住宅、综合'!$A$72:$M$72</definedName>
    <definedName name="套综临街宽度及深度" localSheetId="22">'[1]比较法-住宅、综合'!$B$122:$M$122</definedName>
    <definedName name="套综临街宽度及深度">'土地比较法-住宅、综合'!$B$120:$M$120</definedName>
    <definedName name="套综土地级别" localSheetId="22">'[1]比较法-住宅、综合'!$B$109:$M$109</definedName>
    <definedName name="套综土地级别">'土地比较法-住宅、综合'!$B$107:$M$107</definedName>
    <definedName name="套综用途" localSheetId="22">'[1]比较法-住宅、综合'!$B$76:$M$76</definedName>
    <definedName name="套综用途">'土地比较法-住宅、综合'!$B$74:$M$74</definedName>
    <definedName name="套综宗地内开发程度" localSheetId="22">'[1]比较法-住宅、综合'!$B$124:$M$124</definedName>
    <definedName name="套综宗地内开发程度">'土地比较法-住宅、综合'!$B$122:$M$122</definedName>
    <definedName name="套综宗地形状" localSheetId="22">'[1]比较法-住宅、综合'!$B$120:$M$120</definedName>
    <definedName name="套综宗地形状">'土地比较法-住宅、综合'!$B$118:$M$118</definedName>
    <definedName name="土地估价师" localSheetId="22">[1]估价师及机构信息!$D$3:$D$17</definedName>
    <definedName name="土地估价师">估价师及机构信息!$D$3:$D$24</definedName>
    <definedName name="土地级别" localSheetId="22">[1]定义!$C$1:$C$14</definedName>
    <definedName name="土地级别">定义!$C$1:$C$14</definedName>
    <definedName name="土地利用方向">定义!$P$1:$P$6</definedName>
    <definedName name="土地年限区间">定义!$I$1:$I$16</definedName>
    <definedName name="位置" localSheetId="22">[1]定义!$E$2:$E$4</definedName>
    <definedName name="位置">定义!$E$2:$E$4</definedName>
    <definedName name="五等判定" localSheetId="22">[1]定义!$W$1:$W$6</definedName>
    <definedName name="五等判定">定义!$W$1:$W$6</definedName>
    <definedName name="五级">区片价!$M$1:$M$41</definedName>
    <definedName name="项目类型" localSheetId="26">'[2]数据-汇总表'!$C$17:$C$26</definedName>
    <definedName name="项目类型" localSheetId="22">'[1]数据-汇总表'!$C$17:$C$26</definedName>
    <definedName name="项目类型">'数据-汇总表'!$C$17:$C$26</definedName>
    <definedName name="写字楼等级" localSheetId="22">'[1]不动产比较法-办公'!$B$113:$M$113</definedName>
    <definedName name="写字楼等级">'比较法-办公'!$B$113:$M$113</definedName>
    <definedName name="一级">区片价!$I$1:$I$6</definedName>
    <definedName name="一修多修正项2" localSheetId="22">[1]典型户型修正!$5:$5</definedName>
    <definedName name="一修多修正项2">典型户型修正!$5:$5</definedName>
    <definedName name="一修多修正项3" localSheetId="22">[1]典型户型修正!$7:$7</definedName>
    <definedName name="一修多修正项3">典型户型修正!$7:$7</definedName>
    <definedName name="一修多修正项4" localSheetId="22">[1]典型户型修正!$9:$9</definedName>
    <definedName name="一修多修正项4">典型户型修正!$9:$9</definedName>
    <definedName name="一修多修正项5" localSheetId="22">[1]典型户型修正!$11:$11</definedName>
    <definedName name="一修多修正项5">典型户型修正!$11:$11</definedName>
    <definedName name="一修多修正项6" localSheetId="22">[1]典型户型修正!$13:$13</definedName>
    <definedName name="一修多修正项6">典型户型修正!$13:$13</definedName>
    <definedName name="一修多修正项7" localSheetId="22">[1]典型户型修正!$15:$15</definedName>
    <definedName name="一修多修正项7">典型户型修正!$15:$15</definedName>
    <definedName name="一修多修正项8" localSheetId="22">[1]典型户型修正!$17:$17</definedName>
    <definedName name="一修多修正项8">典型户型修正!$17:$17</definedName>
    <definedName name="用途类型">[1]定义!$A$1:$A$50</definedName>
    <definedName name="用途明细">定义!$A$1:$A$50</definedName>
    <definedName name="有无电梯" localSheetId="22">'[1]不动产比较法-仓储'!$B$84:$M$84</definedName>
    <definedName name="有无电梯">'比较法-仓储下跃'!$B$84:$M$84</definedName>
    <definedName name="主用途" localSheetId="22">[1]定义!$F$1:$F$12</definedName>
    <definedName name="主用途">定义!$F$1:$F$12</definedName>
    <definedName name="住宅朝向" localSheetId="22">'[1]不动产比较法-住宅'!$B$88:$M$88</definedName>
    <definedName name="住宅朝向">'比较法-住宅'!$B$88:$M$88</definedName>
    <definedName name="住宅房型" localSheetId="22">'[1]不动产比较法-住宅'!$B$118:$M$118</definedName>
    <definedName name="住宅房型">'比较法-住宅'!$B$118:$M$118</definedName>
    <definedName name="住宅公共部分装修" localSheetId="22">'[1]不动产比较法-住宅'!$B$109:$M$109</definedName>
    <definedName name="住宅公共部分装修">'比较法-住宅'!$B$109:$M$109</definedName>
    <definedName name="住宅基础设施水平" localSheetId="22">'[1]不动产比较法-住宅'!$B$116:$M$116</definedName>
    <definedName name="住宅基础设施水平">'比较法-住宅'!$B$116:$M$116</definedName>
    <definedName name="住宅建筑结构" localSheetId="22">'[1]不动产比较法-住宅'!$B$105:$M$105</definedName>
    <definedName name="住宅建筑结构">'比较法-住宅'!$B$105:$M$105</definedName>
    <definedName name="住宅建筑类型" localSheetId="22">'[1]不动产比较法-住宅'!$B$100:$M$100</definedName>
    <definedName name="住宅建筑类型">'比较法-住宅'!$B$100:$M$100</definedName>
    <definedName name="住宅建筑品质" localSheetId="22">'[1]不动产比较法-住宅'!$B$107:$M$107</definedName>
    <definedName name="住宅建筑品质">'比较法-住宅'!$B$107:$M$107</definedName>
    <definedName name="住宅交易情况" localSheetId="22">'[1]不动产比较法-住宅'!$A$61:$M$61</definedName>
    <definedName name="住宅交易情况">'比较法-住宅'!$A$61:$M$61</definedName>
    <definedName name="住宅楼层" localSheetId="22">'[1]不动产比较法-住宅'!$B$86:$M$86</definedName>
    <definedName name="住宅楼层">'比较法-住宅'!$B$86:$M$86</definedName>
    <definedName name="住宅内部装修" localSheetId="22">'[1]不动产比较法-住宅'!$B$122:$M$122</definedName>
    <definedName name="住宅内部装修">'比较法-住宅'!$B$122:$M$122</definedName>
    <definedName name="住宅物业管理" localSheetId="22">'[1]不动产比较法-住宅'!$B$114:$M$114</definedName>
    <definedName name="住宅物业管理">'比较法-住宅'!$B$114:$M$114</definedName>
    <definedName name="住宅用途" localSheetId="22">'[1]不动产比较法-住宅'!$B$63:$M$63</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8" i="12" l="1"/>
  <c r="E6" i="12"/>
  <c r="D8" i="12"/>
  <c r="D6" i="12"/>
  <c r="I31" i="35"/>
  <c r="G31" i="35"/>
  <c r="E31" i="35"/>
  <c r="C31" i="35"/>
  <c r="B4" i="84"/>
  <c r="B3" i="84"/>
  <c r="B2" i="84"/>
  <c r="I37" i="35"/>
  <c r="G37" i="35"/>
  <c r="E37" i="35"/>
  <c r="I7" i="35"/>
  <c r="G7" i="35"/>
  <c r="E7" i="35"/>
  <c r="I5" i="35"/>
  <c r="G5" i="35"/>
  <c r="E5" i="35"/>
  <c r="C4" i="84"/>
  <c r="C3" i="84"/>
  <c r="C2" i="84"/>
  <c r="I35" i="36"/>
  <c r="G35" i="36"/>
  <c r="E35" i="36"/>
  <c r="C4" i="83"/>
  <c r="C3" i="83"/>
  <c r="C2" i="83"/>
  <c r="I7" i="36"/>
  <c r="G7" i="36"/>
  <c r="E7" i="36"/>
  <c r="I5" i="36"/>
  <c r="G5" i="36"/>
  <c r="E5" i="36"/>
  <c r="C8" i="12"/>
  <c r="C6" i="12"/>
  <c r="I47" i="21"/>
  <c r="G47" i="21"/>
  <c r="E47" i="21"/>
  <c r="G122" i="21"/>
  <c r="F122" i="21"/>
  <c r="E122" i="21"/>
  <c r="D122" i="21"/>
  <c r="C122" i="21"/>
  <c r="G116" i="21"/>
  <c r="F116" i="21"/>
  <c r="E116" i="21"/>
  <c r="D116" i="21"/>
  <c r="C116" i="21"/>
  <c r="I7" i="21"/>
  <c r="G7" i="21"/>
  <c r="E7" i="21"/>
  <c r="I5" i="21"/>
  <c r="G5" i="21"/>
  <c r="E5" i="21"/>
  <c r="E70" i="39"/>
  <c r="F70" i="39"/>
  <c r="G70" i="39"/>
  <c r="H70" i="39"/>
  <c r="I70" i="39" s="1"/>
  <c r="J70" i="39" s="1"/>
  <c r="K70" i="39" s="1"/>
  <c r="L70" i="39" s="1"/>
  <c r="M70" i="39" s="1"/>
  <c r="N70" i="39" s="1"/>
  <c r="O70" i="39" s="1"/>
  <c r="P70" i="39" s="1"/>
  <c r="Q70" i="39" s="1"/>
  <c r="R70" i="39" s="1"/>
  <c r="S70" i="39" s="1"/>
  <c r="T70" i="39" s="1"/>
  <c r="U70" i="39" s="1"/>
  <c r="V70" i="39" s="1"/>
  <c r="D70" i="39"/>
  <c r="C10" i="39"/>
  <c r="N25" i="1" l="1"/>
  <c r="N24" i="1"/>
  <c r="N23" i="1" l="1"/>
  <c r="L23" i="1"/>
  <c r="L22" i="1" l="1"/>
  <c r="L31" i="1"/>
  <c r="L26" i="1"/>
  <c r="M23" i="1"/>
  <c r="L27" i="1" l="1"/>
  <c r="N26" i="1"/>
  <c r="N27" i="1" l="1"/>
  <c r="L28" i="1"/>
  <c r="N28" i="1" s="1"/>
  <c r="N22" i="1" l="1"/>
  <c r="M22" i="1"/>
  <c r="M29" i="1" s="1"/>
  <c r="N29" i="1" s="1"/>
  <c r="N31" i="1" s="1"/>
  <c r="M31" i="1" s="1"/>
  <c r="C38" i="39" l="1"/>
  <c r="AH8" i="1"/>
  <c r="B59" i="1"/>
  <c r="B35" i="1"/>
  <c r="G21" i="6"/>
  <c r="G20" i="6"/>
  <c r="F19" i="6"/>
  <c r="N37" i="3"/>
  <c r="L14" i="3"/>
  <c r="L15" i="3"/>
  <c r="L16" i="3"/>
  <c r="L17" i="3"/>
  <c r="L18" i="3"/>
  <c r="L19" i="3"/>
  <c r="L20" i="3"/>
  <c r="L21" i="3"/>
  <c r="L22" i="3"/>
  <c r="L23" i="3"/>
  <c r="L24" i="3"/>
  <c r="L25" i="3"/>
  <c r="L26" i="3"/>
  <c r="L27" i="3"/>
  <c r="L28" i="3"/>
  <c r="L29" i="3"/>
  <c r="L30" i="3"/>
  <c r="L31" i="3"/>
  <c r="L32" i="3"/>
  <c r="L33" i="3"/>
  <c r="L34" i="3"/>
  <c r="L35" i="3"/>
  <c r="L36" i="3"/>
  <c r="L13" i="3"/>
  <c r="J14" i="3"/>
  <c r="J15" i="3"/>
  <c r="J16" i="3"/>
  <c r="J17" i="3"/>
  <c r="J18" i="3"/>
  <c r="J19" i="3"/>
  <c r="J20" i="3"/>
  <c r="J21" i="3"/>
  <c r="J22" i="3"/>
  <c r="J23" i="3"/>
  <c r="J24" i="3"/>
  <c r="J25" i="3"/>
  <c r="J26" i="3"/>
  <c r="J27" i="3"/>
  <c r="J28" i="3"/>
  <c r="J29" i="3"/>
  <c r="J30" i="3"/>
  <c r="J31" i="3"/>
  <c r="J32" i="3"/>
  <c r="J33" i="3"/>
  <c r="J34" i="3"/>
  <c r="J35" i="3"/>
  <c r="J36" i="3"/>
  <c r="J13" i="3"/>
  <c r="E28" i="80"/>
  <c r="K27" i="80"/>
  <c r="J4" i="80"/>
  <c r="J5" i="80"/>
  <c r="J6" i="80"/>
  <c r="J7" i="80"/>
  <c r="J8" i="80"/>
  <c r="J9" i="80"/>
  <c r="J10" i="80"/>
  <c r="J11" i="80"/>
  <c r="J12" i="80"/>
  <c r="J13" i="80"/>
  <c r="J14" i="80"/>
  <c r="J15" i="80"/>
  <c r="J16" i="80"/>
  <c r="J17" i="80"/>
  <c r="J18" i="80"/>
  <c r="J19" i="80"/>
  <c r="J20" i="80"/>
  <c r="J21" i="80"/>
  <c r="J22" i="80"/>
  <c r="J23" i="80"/>
  <c r="J24" i="80"/>
  <c r="J25" i="80"/>
  <c r="J26" i="80"/>
  <c r="J3" i="80"/>
  <c r="I4" i="80"/>
  <c r="I5" i="80"/>
  <c r="I6" i="80"/>
  <c r="I7" i="80"/>
  <c r="I8" i="80"/>
  <c r="I9" i="80"/>
  <c r="I10" i="80"/>
  <c r="I11" i="80"/>
  <c r="I12" i="80"/>
  <c r="I13" i="80"/>
  <c r="I14" i="80"/>
  <c r="I15" i="80"/>
  <c r="I16" i="80"/>
  <c r="I17" i="80"/>
  <c r="I18" i="80"/>
  <c r="I19" i="80"/>
  <c r="I20" i="80"/>
  <c r="I21" i="80"/>
  <c r="I22" i="80"/>
  <c r="I23" i="80"/>
  <c r="I24" i="80"/>
  <c r="I25" i="80"/>
  <c r="I26" i="80"/>
  <c r="I3" i="80"/>
  <c r="H27" i="80"/>
  <c r="G4" i="80"/>
  <c r="G5" i="80"/>
  <c r="G6" i="80"/>
  <c r="G7" i="80"/>
  <c r="G8" i="80"/>
  <c r="G9" i="80"/>
  <c r="G10" i="80"/>
  <c r="G11" i="80"/>
  <c r="G12" i="80"/>
  <c r="G13" i="80"/>
  <c r="G14" i="80"/>
  <c r="G15" i="80"/>
  <c r="G16" i="80"/>
  <c r="G17" i="80"/>
  <c r="G18" i="80"/>
  <c r="G19" i="80"/>
  <c r="G20" i="80"/>
  <c r="G21" i="80"/>
  <c r="G22" i="80"/>
  <c r="G23" i="80"/>
  <c r="G24" i="80"/>
  <c r="G25" i="80"/>
  <c r="G26" i="80"/>
  <c r="G3" i="80"/>
  <c r="F4" i="80"/>
  <c r="F5" i="80"/>
  <c r="F6" i="80"/>
  <c r="F7" i="80"/>
  <c r="F8" i="80"/>
  <c r="F9" i="80"/>
  <c r="F10" i="80"/>
  <c r="F11" i="80"/>
  <c r="F12" i="80"/>
  <c r="F13" i="80"/>
  <c r="F14" i="80"/>
  <c r="F15" i="80"/>
  <c r="F16" i="80"/>
  <c r="F17" i="80"/>
  <c r="F18" i="80"/>
  <c r="F19" i="80"/>
  <c r="F20" i="80"/>
  <c r="F21" i="80"/>
  <c r="F22" i="80"/>
  <c r="F23" i="80"/>
  <c r="F24" i="80"/>
  <c r="F25" i="80"/>
  <c r="F26" i="80"/>
  <c r="F3" i="80"/>
  <c r="C3" i="80"/>
  <c r="C4" i="80"/>
  <c r="C10" i="80"/>
  <c r="C9" i="80"/>
  <c r="C8" i="80"/>
  <c r="C7" i="80"/>
  <c r="E7" i="80" s="1"/>
  <c r="C6" i="80"/>
  <c r="C5" i="80"/>
  <c r="C26" i="80"/>
  <c r="C25" i="80"/>
  <c r="C24" i="80"/>
  <c r="E24" i="80" s="1"/>
  <c r="C23" i="80"/>
  <c r="C22" i="80"/>
  <c r="C21" i="80"/>
  <c r="C20" i="80"/>
  <c r="C19" i="80"/>
  <c r="C18" i="80"/>
  <c r="C17" i="80"/>
  <c r="C16" i="80"/>
  <c r="C15" i="80"/>
  <c r="C14" i="80"/>
  <c r="C13" i="80"/>
  <c r="E13" i="80" s="1"/>
  <c r="C12" i="80"/>
  <c r="E12" i="80" s="1"/>
  <c r="D28" i="80"/>
  <c r="B28" i="80"/>
  <c r="B26" i="80"/>
  <c r="B25" i="80"/>
  <c r="B24" i="80"/>
  <c r="B23" i="80"/>
  <c r="B22" i="80"/>
  <c r="E22" i="80" s="1"/>
  <c r="B21" i="80"/>
  <c r="B20" i="80"/>
  <c r="B19" i="80"/>
  <c r="B18" i="80"/>
  <c r="B17" i="80"/>
  <c r="B16" i="80"/>
  <c r="B15" i="80"/>
  <c r="B14" i="80"/>
  <c r="B13" i="80"/>
  <c r="B12" i="80"/>
  <c r="B10" i="80"/>
  <c r="B9" i="80"/>
  <c r="B8" i="80"/>
  <c r="B7" i="80"/>
  <c r="B6" i="80"/>
  <c r="B5" i="80"/>
  <c r="B4" i="80"/>
  <c r="B3" i="80"/>
  <c r="E27" i="80"/>
  <c r="E5" i="80"/>
  <c r="E11" i="80"/>
  <c r="E16" i="80"/>
  <c r="E17" i="80"/>
  <c r="E18" i="80"/>
  <c r="D27" i="80"/>
  <c r="C11" i="80"/>
  <c r="B11" i="80"/>
  <c r="M329" i="80"/>
  <c r="T647" i="80"/>
  <c r="AA619" i="80"/>
  <c r="F1517" i="80"/>
  <c r="D3" i="4"/>
  <c r="E4" i="80" l="1"/>
  <c r="E10" i="80"/>
  <c r="E9" i="80"/>
  <c r="E8" i="80"/>
  <c r="E6" i="80"/>
  <c r="E26" i="80"/>
  <c r="E25" i="80"/>
  <c r="E23" i="80"/>
  <c r="E21" i="80"/>
  <c r="E20" i="80"/>
  <c r="E19" i="80"/>
  <c r="E15" i="80"/>
  <c r="E14" i="80"/>
  <c r="C28" i="80"/>
  <c r="E3" i="80"/>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M40" i="79"/>
  <c r="L40" i="79"/>
  <c r="I40" i="79"/>
  <c r="AB39" i="79"/>
  <c r="AA39" i="79"/>
  <c r="Z39" i="79"/>
  <c r="N39" i="79"/>
  <c r="M39" i="79"/>
  <c r="L39" i="79"/>
  <c r="I39" i="79"/>
  <c r="AB33" i="79"/>
  <c r="AA33" i="79"/>
  <c r="AA28" i="79" s="1"/>
  <c r="AD28" i="79" s="1"/>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T34" i="79" l="1"/>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O24" i="71"/>
  <c r="C24" i="71"/>
  <c r="C23" i="71" s="1"/>
  <c r="Q25" i="71"/>
  <c r="F24" i="71"/>
  <c r="F23" i="71" s="1"/>
  <c r="F22" i="71" s="1"/>
  <c r="P25" i="71"/>
  <c r="E24" i="71"/>
  <c r="V24" i="71" s="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5" i="71" s="1"/>
  <c r="Z25"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C8" i="68"/>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D80" i="71" s="1"/>
  <c r="B80" i="71"/>
  <c r="S80" i="71" s="1"/>
  <c r="Q79" i="71"/>
  <c r="P79" i="71"/>
  <c r="O79" i="71"/>
  <c r="N79" i="71"/>
  <c r="F79" i="71"/>
  <c r="F78" i="71" s="1"/>
  <c r="Q78" i="71"/>
  <c r="P78" i="71"/>
  <c r="O78" i="71"/>
  <c r="N78" i="71"/>
  <c r="Q77" i="71"/>
  <c r="P77" i="71"/>
  <c r="O77" i="71"/>
  <c r="N77" i="71"/>
  <c r="D77" i="71"/>
  <c r="Q76" i="71"/>
  <c r="P76" i="71"/>
  <c r="O76" i="71"/>
  <c r="N76" i="71"/>
  <c r="F76" i="71"/>
  <c r="V76" i="71" s="1"/>
  <c r="E76" i="71"/>
  <c r="E75" i="71" s="1"/>
  <c r="E74" i="71" s="1"/>
  <c r="C76" i="71"/>
  <c r="T76" i="71" s="1"/>
  <c r="B76" i="71"/>
  <c r="S76"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N61" i="71"/>
  <c r="B62" i="71"/>
  <c r="B63" i="71" s="1"/>
  <c r="D61" i="71"/>
  <c r="Q60" i="71"/>
  <c r="P60" i="71"/>
  <c r="O60" i="71"/>
  <c r="N60" i="71"/>
  <c r="Q59" i="71"/>
  <c r="P59" i="71"/>
  <c r="O59" i="71"/>
  <c r="N59" i="71"/>
  <c r="Q58" i="71"/>
  <c r="P58" i="71"/>
  <c r="O58" i="71"/>
  <c r="C59" i="71" s="1"/>
  <c r="N58" i="71"/>
  <c r="Q57" i="71"/>
  <c r="F58" i="71" s="1"/>
  <c r="F59" i="71" s="1"/>
  <c r="F60" i="71"/>
  <c r="V60" i="71" s="1"/>
  <c r="P57" i="71"/>
  <c r="E58" i="71" s="1"/>
  <c r="E59" i="71" s="1"/>
  <c r="E60" i="71" s="1"/>
  <c r="U60"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N49" i="71"/>
  <c r="B50" i="71" s="1"/>
  <c r="B51" i="71" s="1"/>
  <c r="B52" i="71" s="1"/>
  <c r="S52" i="71" s="1"/>
  <c r="D49" i="71"/>
  <c r="T48" i="71"/>
  <c r="Q48" i="71"/>
  <c r="P48" i="71"/>
  <c r="O48" i="71"/>
  <c r="N48" i="71"/>
  <c r="D48" i="71"/>
  <c r="Q47" i="71"/>
  <c r="P47" i="71"/>
  <c r="O47" i="71"/>
  <c r="N47" i="71"/>
  <c r="Q46" i="71"/>
  <c r="P46" i="71"/>
  <c r="O46" i="71"/>
  <c r="C47" i="71" s="1"/>
  <c r="D47" i="71" s="1"/>
  <c r="N46" i="71"/>
  <c r="Q45" i="71"/>
  <c r="F46" i="71" s="1"/>
  <c r="F47" i="71" s="1"/>
  <c r="F48" i="71" s="1"/>
  <c r="V48" i="71" s="1"/>
  <c r="P45" i="71"/>
  <c r="E46" i="71" s="1"/>
  <c r="E47" i="71" s="1"/>
  <c r="E48" i="71" s="1"/>
  <c r="U48"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D42" i="71" s="1"/>
  <c r="N41" i="71"/>
  <c r="B42" i="71"/>
  <c r="B43" i="71" s="1"/>
  <c r="B44" i="71" s="1"/>
  <c r="S44" i="71" s="1"/>
  <c r="D41" i="71"/>
  <c r="Q40" i="71"/>
  <c r="P40" i="71"/>
  <c r="O40" i="71"/>
  <c r="N40" i="71"/>
  <c r="Q39" i="71"/>
  <c r="AB39" i="71" s="1"/>
  <c r="P39" i="71"/>
  <c r="AA39" i="71" s="1"/>
  <c r="O39" i="71"/>
  <c r="N39" i="71"/>
  <c r="X39" i="71" s="1"/>
  <c r="Q38" i="71"/>
  <c r="P38" i="71"/>
  <c r="O38" i="71"/>
  <c r="Y38" i="71" s="1"/>
  <c r="Z38" i="71" s="1"/>
  <c r="N38" i="71"/>
  <c r="Q37" i="71"/>
  <c r="P37" i="71"/>
  <c r="AA36" i="71" s="1"/>
  <c r="O37" i="71"/>
  <c r="Y35" i="71" s="1"/>
  <c r="Z35" i="71" s="1"/>
  <c r="N37" i="71"/>
  <c r="B38" i="71" s="1"/>
  <c r="B39" i="71" s="1"/>
  <c r="B40" i="71" s="1"/>
  <c r="S40" i="71" s="1"/>
  <c r="D37" i="71"/>
  <c r="Q36" i="71"/>
  <c r="AB36" i="71" s="1"/>
  <c r="P36" i="71"/>
  <c r="O36" i="71"/>
  <c r="N36" i="71"/>
  <c r="X35" i="71" s="1"/>
  <c r="Q35" i="71"/>
  <c r="AB31" i="71" s="1"/>
  <c r="P35" i="71"/>
  <c r="AA35" i="71" s="1"/>
  <c r="O35" i="71"/>
  <c r="N35" i="71"/>
  <c r="Q34" i="71"/>
  <c r="AB34" i="71"/>
  <c r="P34" i="71"/>
  <c r="O34" i="71"/>
  <c r="N34" i="71"/>
  <c r="Q33" i="71"/>
  <c r="F34" i="71" s="1"/>
  <c r="F35" i="71" s="1"/>
  <c r="P33" i="71"/>
  <c r="O33" i="71"/>
  <c r="N33" i="71"/>
  <c r="X31" i="71" s="1"/>
  <c r="D33" i="71"/>
  <c r="Q32" i="71"/>
  <c r="P32" i="71"/>
  <c r="O32" i="71"/>
  <c r="N32" i="71"/>
  <c r="Q31" i="71"/>
  <c r="P31" i="71"/>
  <c r="AA3" i="71" s="1"/>
  <c r="O31" i="71"/>
  <c r="Y28" i="71" s="1"/>
  <c r="Z28" i="71" s="1"/>
  <c r="N31" i="71"/>
  <c r="Q30" i="71"/>
  <c r="P30" i="71"/>
  <c r="O30" i="71"/>
  <c r="Y30" i="71" s="1"/>
  <c r="Z30" i="71" s="1"/>
  <c r="N30" i="71"/>
  <c r="Q29" i="71"/>
  <c r="F30" i="71" s="1"/>
  <c r="F31" i="71" s="1"/>
  <c r="F32" i="71" s="1"/>
  <c r="V32" i="71" s="1"/>
  <c r="P29" i="71"/>
  <c r="O29" i="71"/>
  <c r="C30" i="71" s="1"/>
  <c r="N29" i="71"/>
  <c r="X25" i="71" s="1"/>
  <c r="D29" i="71"/>
  <c r="O28" i="71"/>
  <c r="C28" i="71" s="1"/>
  <c r="N28" i="71"/>
  <c r="E30" i="71"/>
  <c r="E31" i="71" s="1"/>
  <c r="E32" i="71" s="1"/>
  <c r="U32" i="71" s="1"/>
  <c r="N68" i="71"/>
  <c r="E34" i="71"/>
  <c r="AA30" i="71"/>
  <c r="C34" i="71"/>
  <c r="D34" i="71" s="1"/>
  <c r="C35" i="71"/>
  <c r="C36" i="71" s="1"/>
  <c r="X36" i="71"/>
  <c r="C38" i="71"/>
  <c r="D38" i="71" s="1"/>
  <c r="AA38" i="71"/>
  <c r="Y26" i="71"/>
  <c r="Z26" i="71" s="1"/>
  <c r="Y27" i="71"/>
  <c r="Z27" i="71" s="1"/>
  <c r="B28" i="71"/>
  <c r="B27" i="71" s="1"/>
  <c r="B26" i="71" s="1"/>
  <c r="C43" i="71"/>
  <c r="C44" i="71" s="1"/>
  <c r="D50" i="71"/>
  <c r="P28" i="71"/>
  <c r="E28" i="71" s="1"/>
  <c r="U68" i="71"/>
  <c r="E67" i="71"/>
  <c r="E66" i="71" s="1"/>
  <c r="Q28" i="71"/>
  <c r="D58" i="71"/>
  <c r="C63" i="71"/>
  <c r="C64" i="71" s="1"/>
  <c r="D62" i="71"/>
  <c r="C67" i="71"/>
  <c r="D67" i="71" s="1"/>
  <c r="C71" i="71"/>
  <c r="C70" i="71" s="1"/>
  <c r="D70" i="71" s="1"/>
  <c r="E71" i="71"/>
  <c r="E70" i="71"/>
  <c r="D72" i="71"/>
  <c r="D76" i="71"/>
  <c r="C87" i="71"/>
  <c r="C86" i="71" s="1"/>
  <c r="D86" i="71" s="1"/>
  <c r="S28" i="71"/>
  <c r="F28" i="71"/>
  <c r="F27" i="71"/>
  <c r="F26" i="71" s="1"/>
  <c r="AB28" i="71"/>
  <c r="D63" i="71"/>
  <c r="D87" i="71"/>
  <c r="P67" i="71"/>
  <c r="D35"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G20" i="20"/>
  <c r="C25" i="40" s="1"/>
  <c r="C22" i="20"/>
  <c r="B100" i="43" s="1"/>
  <c r="B57" i="43"/>
  <c r="S25" i="40"/>
  <c r="H25" i="40"/>
  <c r="AB25" i="40" s="1"/>
  <c r="J25" i="40"/>
  <c r="H29" i="39"/>
  <c r="AB29" i="39" s="1"/>
  <c r="J29" i="39"/>
  <c r="AC29" i="39" s="1"/>
  <c r="J18" i="36"/>
  <c r="AC18" i="36" s="1"/>
  <c r="H18" i="35"/>
  <c r="AB18" i="35" s="1"/>
  <c r="J18" i="35"/>
  <c r="W18" i="35" s="1"/>
  <c r="H21" i="37"/>
  <c r="AB21" i="37" s="1"/>
  <c r="F21" i="37"/>
  <c r="AA21" i="37" s="1"/>
  <c r="H21" i="34"/>
  <c r="AB21" i="34" s="1"/>
  <c r="H21" i="33"/>
  <c r="U21" i="33" s="1"/>
  <c r="F21" i="33"/>
  <c r="AA21" i="33" s="1"/>
  <c r="E83" i="21"/>
  <c r="F83" i="21" s="1"/>
  <c r="H1" i="69"/>
  <c r="AC25" i="40"/>
  <c r="W25" i="40"/>
  <c r="W18" i="36"/>
  <c r="U21" i="37"/>
  <c r="U21" i="34"/>
  <c r="J21" i="37"/>
  <c r="W21" i="37" s="1"/>
  <c r="J21" i="34"/>
  <c r="W21" i="34" s="1"/>
  <c r="J21" i="33"/>
  <c r="W21" i="33" s="1"/>
  <c r="H21" i="21"/>
  <c r="U21" i="21" s="1"/>
  <c r="F38" i="69"/>
  <c r="E37" i="69"/>
  <c r="F36" i="69"/>
  <c r="F35" i="69"/>
  <c r="F21" i="69"/>
  <c r="F40" i="69" s="1"/>
  <c r="F20" i="69"/>
  <c r="F39" i="69" s="1"/>
  <c r="E10" i="69"/>
  <c r="E9" i="69"/>
  <c r="AC21" i="37"/>
  <c r="G83" i="21"/>
  <c r="J21" i="21"/>
  <c r="W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A78" i="3" s="1"/>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A55" i="3" s="1"/>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A50" i="3" s="1"/>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L44" i="3" s="1"/>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H26" i="80" s="1"/>
  <c r="K26" i="80" s="1"/>
  <c r="BT35" i="3"/>
  <c r="BS35" i="3"/>
  <c r="BR35" i="3"/>
  <c r="BQ35" i="3"/>
  <c r="BP35" i="3"/>
  <c r="BO35" i="3"/>
  <c r="BN35" i="3"/>
  <c r="BM35" i="3"/>
  <c r="BK35" i="3"/>
  <c r="BJ35" i="3"/>
  <c r="BI35" i="3"/>
  <c r="BH35" i="3"/>
  <c r="BG35" i="3"/>
  <c r="BF35" i="3"/>
  <c r="BE35" i="3"/>
  <c r="BD35" i="3"/>
  <c r="BC35" i="3"/>
  <c r="BB35" i="3"/>
  <c r="AX35" i="3"/>
  <c r="AW35" i="3"/>
  <c r="AV35" i="3"/>
  <c r="AC35" i="3"/>
  <c r="H35" i="3"/>
  <c r="G35" i="3" s="1"/>
  <c r="H25" i="80" s="1"/>
  <c r="K25" i="80"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H18" i="80" s="1"/>
  <c r="K18" i="80"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H16" i="80" s="1"/>
  <c r="K16" i="80" s="1"/>
  <c r="BT25" i="3"/>
  <c r="BS25" i="3"/>
  <c r="BR25" i="3"/>
  <c r="BQ25" i="3"/>
  <c r="BP25" i="3"/>
  <c r="BO25" i="3"/>
  <c r="BN25" i="3"/>
  <c r="BM25" i="3"/>
  <c r="BK25" i="3"/>
  <c r="BJ25" i="3"/>
  <c r="BI25" i="3"/>
  <c r="BH25" i="3"/>
  <c r="BG25" i="3"/>
  <c r="BF25" i="3"/>
  <c r="BE25" i="3"/>
  <c r="BD25" i="3"/>
  <c r="BC25" i="3"/>
  <c r="BB25" i="3"/>
  <c r="AX25" i="3"/>
  <c r="AW25" i="3"/>
  <c r="AV25" i="3"/>
  <c r="AC25" i="3"/>
  <c r="H25" i="3"/>
  <c r="G25" i="3" s="1"/>
  <c r="H15" i="80" s="1"/>
  <c r="K15" i="80" s="1"/>
  <c r="BT24" i="3"/>
  <c r="BS24" i="3"/>
  <c r="BR24" i="3"/>
  <c r="BQ24" i="3"/>
  <c r="BP24" i="3"/>
  <c r="BO24" i="3"/>
  <c r="BN24" i="3"/>
  <c r="BM24" i="3"/>
  <c r="BK24" i="3"/>
  <c r="BJ24" i="3"/>
  <c r="BI24" i="3"/>
  <c r="BH24" i="3"/>
  <c r="BG24" i="3"/>
  <c r="BF24" i="3"/>
  <c r="BE24" i="3"/>
  <c r="BD24" i="3"/>
  <c r="BC24" i="3"/>
  <c r="BB24" i="3"/>
  <c r="AX24" i="3"/>
  <c r="AW24" i="3"/>
  <c r="AV24" i="3"/>
  <c r="AC24" i="3"/>
  <c r="H24" i="3"/>
  <c r="G24" i="3" s="1"/>
  <c r="H14" i="80" s="1"/>
  <c r="K14" i="80"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H12" i="80" s="1"/>
  <c r="K12" i="80"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H10" i="80" s="1"/>
  <c r="K10" i="80"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H8" i="80" s="1"/>
  <c r="K8" i="80"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A201" i="3" s="1"/>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A189" i="3" s="1"/>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A188" i="3" s="1"/>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A162" i="3" s="1"/>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A145" i="3" s="1"/>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L127" i="3" s="1"/>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L280" i="3" s="1"/>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A225" i="3" s="1"/>
  <c r="BD225" i="3"/>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A220" i="3" s="1"/>
  <c r="BG220" i="3"/>
  <c r="BF220" i="3"/>
  <c r="BE220" i="3"/>
  <c r="BD220" i="3"/>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L308" i="3" s="1"/>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A487" i="3" s="1"/>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G456" i="3" s="1"/>
  <c r="BT455" i="3"/>
  <c r="BS455" i="3"/>
  <c r="BR455" i="3"/>
  <c r="BL455" i="3" s="1"/>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A452" i="3" s="1"/>
  <c r="BF452" i="3"/>
  <c r="BE452" i="3"/>
  <c r="BD452" i="3"/>
  <c r="BC452" i="3"/>
  <c r="BB452" i="3"/>
  <c r="AX452" i="3"/>
  <c r="AW452" i="3"/>
  <c r="AV452" i="3"/>
  <c r="AC452" i="3"/>
  <c r="H452" i="3"/>
  <c r="BT451" i="3"/>
  <c r="BS451" i="3"/>
  <c r="BR451" i="3"/>
  <c r="BQ451" i="3"/>
  <c r="BP451" i="3"/>
  <c r="BO451" i="3"/>
  <c r="BL451" i="3" s="1"/>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A448" i="3" s="1"/>
  <c r="BE448" i="3"/>
  <c r="BD448" i="3"/>
  <c r="BC448" i="3"/>
  <c r="BB448" i="3"/>
  <c r="AX448" i="3"/>
  <c r="AW448" i="3"/>
  <c r="AV448" i="3"/>
  <c r="AC448" i="3"/>
  <c r="H448" i="3"/>
  <c r="G448" i="3"/>
  <c r="BT447" i="3"/>
  <c r="BS447" i="3"/>
  <c r="BR447" i="3"/>
  <c r="BQ447" i="3"/>
  <c r="BP447" i="3"/>
  <c r="BL447" i="3" s="1"/>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L430" i="3" s="1"/>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s="1"/>
  <c r="BT406" i="3"/>
  <c r="BS406" i="3"/>
  <c r="BR406" i="3"/>
  <c r="BQ406" i="3"/>
  <c r="BP406" i="3"/>
  <c r="BO406" i="3"/>
  <c r="BN406" i="3"/>
  <c r="BM406" i="3"/>
  <c r="BL406" i="3" s="1"/>
  <c r="BK406" i="3"/>
  <c r="BJ406" i="3"/>
  <c r="BI406" i="3"/>
  <c r="BH406" i="3"/>
  <c r="BG406" i="3"/>
  <c r="BF406" i="3"/>
  <c r="BA406" i="3" s="1"/>
  <c r="AZ406" i="3" s="1"/>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A402" i="3" s="1"/>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A400" i="3" s="1"/>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L13" i="3" s="1"/>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H3" i="80" s="1"/>
  <c r="AC13" i="3"/>
  <c r="H14" i="3"/>
  <c r="G14" i="3" s="1"/>
  <c r="H4" i="80" s="1"/>
  <c r="K4" i="80" s="1"/>
  <c r="AC14" i="3"/>
  <c r="H15" i="3"/>
  <c r="AC15" i="3"/>
  <c r="H16" i="3"/>
  <c r="G16" i="3" s="1"/>
  <c r="H6" i="80" s="1"/>
  <c r="K6" i="80" s="1"/>
  <c r="AC16" i="3"/>
  <c r="H17" i="3"/>
  <c r="G17" i="3" s="1"/>
  <c r="H7" i="80" s="1"/>
  <c r="K7" i="80" s="1"/>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A494" i="3" s="1"/>
  <c r="BH494" i="3"/>
  <c r="BI494" i="3"/>
  <c r="BJ494" i="3"/>
  <c r="BK494" i="3"/>
  <c r="BM494" i="3"/>
  <c r="BN494" i="3"/>
  <c r="BO494" i="3"/>
  <c r="BP494" i="3"/>
  <c r="BL494" i="3" s="1"/>
  <c r="BQ494" i="3"/>
  <c r="BR494" i="3"/>
  <c r="BS494" i="3"/>
  <c r="BT494" i="3"/>
  <c r="H495" i="3"/>
  <c r="AC495" i="3"/>
  <c r="BB495" i="3"/>
  <c r="BC495" i="3"/>
  <c r="BA495" i="3" s="1"/>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A497" i="3" s="1"/>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A498" i="3" s="1"/>
  <c r="BJ498" i="3"/>
  <c r="BK498" i="3"/>
  <c r="BM498" i="3"/>
  <c r="BN498" i="3"/>
  <c r="BO498" i="3"/>
  <c r="BP498" i="3"/>
  <c r="BQ498" i="3"/>
  <c r="BR498" i="3"/>
  <c r="BS498" i="3"/>
  <c r="BT498" i="3"/>
  <c r="H499" i="3"/>
  <c r="AC499" i="3"/>
  <c r="BB499" i="3"/>
  <c r="BC499" i="3"/>
  <c r="BD499" i="3"/>
  <c r="BE499" i="3"/>
  <c r="BA499" i="3" s="1"/>
  <c r="BF499" i="3"/>
  <c r="BG499" i="3"/>
  <c r="BH499" i="3"/>
  <c r="BI499" i="3"/>
  <c r="BJ499" i="3"/>
  <c r="BK499" i="3"/>
  <c r="BM499" i="3"/>
  <c r="BN499" i="3"/>
  <c r="BL499" i="3" s="1"/>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L500" i="3" s="1"/>
  <c r="BT500" i="3"/>
  <c r="H501" i="3"/>
  <c r="AC501" i="3"/>
  <c r="BB501" i="3"/>
  <c r="BC501" i="3"/>
  <c r="BD501" i="3"/>
  <c r="BE501" i="3"/>
  <c r="BF501" i="3"/>
  <c r="BA501" i="3" s="1"/>
  <c r="BG501" i="3"/>
  <c r="BH501" i="3"/>
  <c r="BI501" i="3"/>
  <c r="BJ501" i="3"/>
  <c r="BK501" i="3"/>
  <c r="BM501" i="3"/>
  <c r="BN501" i="3"/>
  <c r="BO501" i="3"/>
  <c r="BL501" i="3" s="1"/>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BL502" i="3" s="1"/>
  <c r="AZ502" i="3" s="1"/>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A504" i="3" s="1"/>
  <c r="BE504" i="3"/>
  <c r="BF504" i="3"/>
  <c r="BG504" i="3"/>
  <c r="BH504" i="3"/>
  <c r="BI504" i="3"/>
  <c r="BJ504" i="3"/>
  <c r="BK504" i="3"/>
  <c r="BM504" i="3"/>
  <c r="BL504" i="3" s="1"/>
  <c r="BN504" i="3"/>
  <c r="BO504" i="3"/>
  <c r="BP504" i="3"/>
  <c r="BQ504" i="3"/>
  <c r="BR504" i="3"/>
  <c r="BS504" i="3"/>
  <c r="BT504" i="3"/>
  <c r="H505" i="3"/>
  <c r="AC505" i="3"/>
  <c r="BB505" i="3"/>
  <c r="BC505" i="3"/>
  <c r="BD505" i="3"/>
  <c r="BE505" i="3"/>
  <c r="BF505" i="3"/>
  <c r="BG505" i="3"/>
  <c r="BH505" i="3"/>
  <c r="BH5" i="3" s="1"/>
  <c r="BI505" i="3"/>
  <c r="BJ505" i="3"/>
  <c r="BK505" i="3"/>
  <c r="BM505" i="3"/>
  <c r="BN505" i="3"/>
  <c r="BO505" i="3"/>
  <c r="BP505" i="3"/>
  <c r="BR505" i="3"/>
  <c r="BS505" i="3"/>
  <c r="BT505" i="3"/>
  <c r="H506" i="3"/>
  <c r="AC506" i="3"/>
  <c r="BB506" i="3"/>
  <c r="BC506" i="3"/>
  <c r="BD506" i="3"/>
  <c r="BE506" i="3"/>
  <c r="BA506" i="3" s="1"/>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A507" i="3" s="1"/>
  <c r="BJ507" i="3"/>
  <c r="BK507" i="3"/>
  <c r="BM507" i="3"/>
  <c r="BN507" i="3"/>
  <c r="BO507" i="3"/>
  <c r="BP507" i="3"/>
  <c r="BR507" i="3"/>
  <c r="BS507" i="3"/>
  <c r="BT507" i="3"/>
  <c r="H508" i="3"/>
  <c r="AC508" i="3"/>
  <c r="BB508" i="3"/>
  <c r="BC508" i="3"/>
  <c r="BD508" i="3"/>
  <c r="BE508" i="3"/>
  <c r="BF508" i="3"/>
  <c r="BA508" i="3" s="1"/>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A510" i="3" s="1"/>
  <c r="BI510" i="3"/>
  <c r="BJ510" i="3"/>
  <c r="BK510" i="3"/>
  <c r="BM510" i="3"/>
  <c r="BN510" i="3"/>
  <c r="BO510" i="3"/>
  <c r="BP510" i="3"/>
  <c r="BQ510" i="3"/>
  <c r="BL510" i="3" s="1"/>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A512" i="3" s="1"/>
  <c r="BJ512" i="3"/>
  <c r="BK512" i="3"/>
  <c r="BM512" i="3"/>
  <c r="BN512" i="3"/>
  <c r="BO512" i="3"/>
  <c r="BP512" i="3"/>
  <c r="BQ512" i="3"/>
  <c r="BR512" i="3"/>
  <c r="BL512" i="3" s="1"/>
  <c r="BS512" i="3"/>
  <c r="BT512" i="3"/>
  <c r="H513" i="3"/>
  <c r="AC513" i="3"/>
  <c r="BB513" i="3"/>
  <c r="BC513" i="3"/>
  <c r="BD513" i="3"/>
  <c r="BE513" i="3"/>
  <c r="BA513" i="3" s="1"/>
  <c r="BF513" i="3"/>
  <c r="BG513" i="3"/>
  <c r="BH513" i="3"/>
  <c r="BI513" i="3"/>
  <c r="BJ513" i="3"/>
  <c r="BK513" i="3"/>
  <c r="BM513" i="3"/>
  <c r="BN513" i="3"/>
  <c r="BL513" i="3" s="1"/>
  <c r="BO513" i="3"/>
  <c r="BP513" i="3"/>
  <c r="BR513" i="3"/>
  <c r="BS513" i="3"/>
  <c r="BT513" i="3"/>
  <c r="H514" i="3"/>
  <c r="AC514" i="3"/>
  <c r="BB514" i="3"/>
  <c r="BB5" i="3" s="1"/>
  <c r="BC514" i="3"/>
  <c r="BD514" i="3"/>
  <c r="BE514" i="3"/>
  <c r="BF514" i="3"/>
  <c r="BG514" i="3"/>
  <c r="BH514" i="3"/>
  <c r="BI514" i="3"/>
  <c r="BJ514" i="3"/>
  <c r="BK514" i="3"/>
  <c r="BM514" i="3"/>
  <c r="BN514" i="3"/>
  <c r="BO514" i="3"/>
  <c r="BP514" i="3"/>
  <c r="BQ514" i="3"/>
  <c r="BR514" i="3"/>
  <c r="BS514" i="3"/>
  <c r="BL514" i="3" s="1"/>
  <c r="BT514" i="3"/>
  <c r="H515" i="3"/>
  <c r="AC515" i="3"/>
  <c r="BB515" i="3"/>
  <c r="BC515" i="3"/>
  <c r="BD515" i="3"/>
  <c r="BE515" i="3"/>
  <c r="BF515" i="3"/>
  <c r="BA515" i="3" s="1"/>
  <c r="BG515" i="3"/>
  <c r="BH515" i="3"/>
  <c r="BI515" i="3"/>
  <c r="BJ515" i="3"/>
  <c r="BK515" i="3"/>
  <c r="BM515" i="3"/>
  <c r="BN515" i="3"/>
  <c r="BO515" i="3"/>
  <c r="BO5" i="3" s="1"/>
  <c r="BP515" i="3"/>
  <c r="BR515" i="3"/>
  <c r="BS515" i="3"/>
  <c r="BT515" i="3"/>
  <c r="H516" i="3"/>
  <c r="AC516" i="3"/>
  <c r="BB516" i="3"/>
  <c r="BC516" i="3"/>
  <c r="BA516" i="3" s="1"/>
  <c r="BD516" i="3"/>
  <c r="BE516" i="3"/>
  <c r="BF516" i="3"/>
  <c r="BG516" i="3"/>
  <c r="BH516" i="3"/>
  <c r="BI516" i="3"/>
  <c r="BJ516" i="3"/>
  <c r="BK516" i="3"/>
  <c r="BM516" i="3"/>
  <c r="BN516" i="3"/>
  <c r="BO516" i="3"/>
  <c r="BP516" i="3"/>
  <c r="BQ516" i="3"/>
  <c r="BR516" i="3"/>
  <c r="BS516" i="3"/>
  <c r="BT516" i="3"/>
  <c r="BL516" i="3" s="1"/>
  <c r="H517" i="3"/>
  <c r="AC517" i="3"/>
  <c r="BB517" i="3"/>
  <c r="BC517" i="3"/>
  <c r="BD517" i="3"/>
  <c r="BE517" i="3"/>
  <c r="BF517" i="3"/>
  <c r="BG517" i="3"/>
  <c r="BA517" i="3" s="1"/>
  <c r="BH517" i="3"/>
  <c r="BI517" i="3"/>
  <c r="BJ517" i="3"/>
  <c r="BK517" i="3"/>
  <c r="BM517" i="3"/>
  <c r="BN517" i="3"/>
  <c r="BO517" i="3"/>
  <c r="BP517" i="3"/>
  <c r="BL517" i="3" s="1"/>
  <c r="BR517" i="3"/>
  <c r="BS517" i="3"/>
  <c r="BT517" i="3"/>
  <c r="H518" i="3"/>
  <c r="AC518" i="3"/>
  <c r="BB518" i="3"/>
  <c r="BC518" i="3"/>
  <c r="BD518" i="3"/>
  <c r="BA518" i="3" s="1"/>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A519" i="3" s="1"/>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L520" i="3" s="1"/>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L522" i="3" s="1"/>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A524" i="3" s="1"/>
  <c r="BI524" i="3"/>
  <c r="BJ524" i="3"/>
  <c r="BK524" i="3"/>
  <c r="BM524" i="3"/>
  <c r="BN524" i="3"/>
  <c r="BO524" i="3"/>
  <c r="BP524" i="3"/>
  <c r="BQ524" i="3"/>
  <c r="BL524" i="3" s="1"/>
  <c r="BR524" i="3"/>
  <c r="BS524" i="3"/>
  <c r="BT524" i="3"/>
  <c r="H525" i="3"/>
  <c r="AC525" i="3"/>
  <c r="BB525" i="3"/>
  <c r="BC525" i="3"/>
  <c r="BD525" i="3"/>
  <c r="BA525" i="3" s="1"/>
  <c r="BE525" i="3"/>
  <c r="BF525" i="3"/>
  <c r="BG525" i="3"/>
  <c r="BH525" i="3"/>
  <c r="BI525" i="3"/>
  <c r="BJ525" i="3"/>
  <c r="BK525" i="3"/>
  <c r="BM525" i="3"/>
  <c r="BL525" i="3" s="1"/>
  <c r="AZ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L526" i="3" s="1"/>
  <c r="BS526" i="3"/>
  <c r="BT526" i="3"/>
  <c r="H527" i="3"/>
  <c r="AC527" i="3"/>
  <c r="BB527" i="3"/>
  <c r="BC527" i="3"/>
  <c r="BD527" i="3"/>
  <c r="BE527" i="3"/>
  <c r="BA527" i="3" s="1"/>
  <c r="BF527" i="3"/>
  <c r="BG527" i="3"/>
  <c r="BH527" i="3"/>
  <c r="BI527" i="3"/>
  <c r="BJ527" i="3"/>
  <c r="BK527" i="3"/>
  <c r="BM527" i="3"/>
  <c r="BN527" i="3"/>
  <c r="BO527" i="3"/>
  <c r="BP527" i="3"/>
  <c r="BR527" i="3"/>
  <c r="BS527" i="3"/>
  <c r="BT527" i="3"/>
  <c r="H528" i="3"/>
  <c r="AC528" i="3"/>
  <c r="BB528" i="3"/>
  <c r="BA528" i="3" s="1"/>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Q530" i="3"/>
  <c r="BR530" i="3"/>
  <c r="BS530" i="3"/>
  <c r="BT530" i="3"/>
  <c r="BL530" i="3" s="1"/>
  <c r="H531" i="3"/>
  <c r="AC531" i="3"/>
  <c r="BB531" i="3"/>
  <c r="BC531" i="3"/>
  <c r="BD531" i="3"/>
  <c r="BE531" i="3"/>
  <c r="BF531" i="3"/>
  <c r="BG531" i="3"/>
  <c r="BA531" i="3" s="1"/>
  <c r="BH531" i="3"/>
  <c r="BI531" i="3"/>
  <c r="BJ531" i="3"/>
  <c r="BK531" i="3"/>
  <c r="BM531" i="3"/>
  <c r="BN531" i="3"/>
  <c r="BO531" i="3"/>
  <c r="BP531" i="3"/>
  <c r="BR531" i="3"/>
  <c r="BS531" i="3"/>
  <c r="BT531" i="3"/>
  <c r="H532" i="3"/>
  <c r="AC532" i="3"/>
  <c r="BB532" i="3"/>
  <c r="BC532" i="3"/>
  <c r="BD532" i="3"/>
  <c r="BA532" i="3" s="1"/>
  <c r="BE532" i="3"/>
  <c r="BF532" i="3"/>
  <c r="BG532" i="3"/>
  <c r="BH532" i="3"/>
  <c r="BI532" i="3"/>
  <c r="BJ532" i="3"/>
  <c r="BK532" i="3"/>
  <c r="BM532" i="3"/>
  <c r="BL532" i="3" s="1"/>
  <c r="BN532" i="3"/>
  <c r="BO532" i="3"/>
  <c r="BP532" i="3"/>
  <c r="BQ532" i="3"/>
  <c r="BR532" i="3"/>
  <c r="BS532" i="3"/>
  <c r="BT532" i="3"/>
  <c r="H533" i="3"/>
  <c r="G533" i="3" s="1"/>
  <c r="AC533" i="3"/>
  <c r="BB533" i="3"/>
  <c r="BC533" i="3"/>
  <c r="BD533" i="3"/>
  <c r="BE533" i="3"/>
  <c r="BF533" i="3"/>
  <c r="BG533" i="3"/>
  <c r="BH533" i="3"/>
  <c r="BA533" i="3" s="1"/>
  <c r="BI533" i="3"/>
  <c r="BJ533" i="3"/>
  <c r="BK533" i="3"/>
  <c r="BM533" i="3"/>
  <c r="BN533" i="3"/>
  <c r="BO533" i="3"/>
  <c r="BP533" i="3"/>
  <c r="BR533" i="3"/>
  <c r="BL533" i="3" s="1"/>
  <c r="AZ533" i="3" s="1"/>
  <c r="BS533" i="3"/>
  <c r="BT533" i="3"/>
  <c r="H534" i="3"/>
  <c r="AC534" i="3"/>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A535" i="3" s="1"/>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BL537" i="3" s="1"/>
  <c r="H538" i="3"/>
  <c r="AC538" i="3"/>
  <c r="BB538" i="3"/>
  <c r="BC538" i="3"/>
  <c r="BD538" i="3"/>
  <c r="BE538" i="3"/>
  <c r="BF538" i="3"/>
  <c r="BG538" i="3"/>
  <c r="BA538" i="3" s="1"/>
  <c r="BH538" i="3"/>
  <c r="BI538" i="3"/>
  <c r="BJ538" i="3"/>
  <c r="BK538" i="3"/>
  <c r="BM538" i="3"/>
  <c r="BN538" i="3"/>
  <c r="BO538" i="3"/>
  <c r="BP538" i="3"/>
  <c r="BL538" i="3" s="1"/>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A540" i="3" s="1"/>
  <c r="BI540" i="3"/>
  <c r="BJ540" i="3"/>
  <c r="BK540" i="3"/>
  <c r="BM540" i="3"/>
  <c r="BN540" i="3"/>
  <c r="BO540" i="3"/>
  <c r="BP540" i="3"/>
  <c r="BQ540" i="3"/>
  <c r="BL540" i="3" s="1"/>
  <c r="AZ540" i="3" s="1"/>
  <c r="BR540" i="3"/>
  <c r="BS540" i="3"/>
  <c r="BT540" i="3"/>
  <c r="H541" i="3"/>
  <c r="AC541" i="3"/>
  <c r="BB541" i="3"/>
  <c r="BC541" i="3"/>
  <c r="BD541" i="3"/>
  <c r="BA541" i="3" s="1"/>
  <c r="BE541" i="3"/>
  <c r="BF541" i="3"/>
  <c r="BG541" i="3"/>
  <c r="BH541" i="3"/>
  <c r="BI541" i="3"/>
  <c r="BJ541" i="3"/>
  <c r="BK541" i="3"/>
  <c r="BM541" i="3"/>
  <c r="BL541" i="3" s="1"/>
  <c r="AZ541" i="3" s="1"/>
  <c r="BN541" i="3"/>
  <c r="BO541" i="3"/>
  <c r="BP541" i="3"/>
  <c r="BR541" i="3"/>
  <c r="BS541" i="3"/>
  <c r="BT541" i="3"/>
  <c r="H542" i="3"/>
  <c r="AC542" i="3"/>
  <c r="BB542" i="3"/>
  <c r="BC542" i="3"/>
  <c r="BD542" i="3"/>
  <c r="BE542" i="3"/>
  <c r="BF542" i="3"/>
  <c r="BG542" i="3"/>
  <c r="BH542" i="3"/>
  <c r="BI542" i="3"/>
  <c r="BA542" i="3" s="1"/>
  <c r="BJ542" i="3"/>
  <c r="BK542" i="3"/>
  <c r="BM542" i="3"/>
  <c r="BN542" i="3"/>
  <c r="BO542" i="3"/>
  <c r="BP542" i="3"/>
  <c r="BQ542" i="3"/>
  <c r="BR542" i="3"/>
  <c r="BL542" i="3" s="1"/>
  <c r="BS542" i="3"/>
  <c r="BT542" i="3"/>
  <c r="H543" i="3"/>
  <c r="AC543" i="3"/>
  <c r="BB543" i="3"/>
  <c r="BC543" i="3"/>
  <c r="BD543" i="3"/>
  <c r="BE543" i="3"/>
  <c r="BA543" i="3" s="1"/>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L544" i="3" s="1"/>
  <c r="BT544" i="3"/>
  <c r="H545" i="3"/>
  <c r="AC545" i="3"/>
  <c r="BB545" i="3"/>
  <c r="BC545" i="3"/>
  <c r="BD545" i="3"/>
  <c r="BE545" i="3"/>
  <c r="BF545" i="3"/>
  <c r="BG545" i="3"/>
  <c r="BH545" i="3"/>
  <c r="BI545" i="3"/>
  <c r="BJ545" i="3"/>
  <c r="BK545" i="3"/>
  <c r="BM545" i="3"/>
  <c r="BN545" i="3"/>
  <c r="BO545" i="3"/>
  <c r="BL545" i="3" s="1"/>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BL546" i="3" s="1"/>
  <c r="H547" i="3"/>
  <c r="AC547" i="3"/>
  <c r="BB547" i="3"/>
  <c r="BC547" i="3"/>
  <c r="BD547" i="3"/>
  <c r="BE547" i="3"/>
  <c r="BF547" i="3"/>
  <c r="BG547" i="3"/>
  <c r="BA547" i="3" s="1"/>
  <c r="BH547" i="3"/>
  <c r="BI547" i="3"/>
  <c r="BJ547" i="3"/>
  <c r="BK547" i="3"/>
  <c r="BM547" i="3"/>
  <c r="BN547" i="3"/>
  <c r="BO547" i="3"/>
  <c r="BP547" i="3"/>
  <c r="BR547" i="3"/>
  <c r="BS547" i="3"/>
  <c r="BT547" i="3"/>
  <c r="H548" i="3"/>
  <c r="AC548" i="3"/>
  <c r="BB548" i="3"/>
  <c r="BC548" i="3"/>
  <c r="BD548" i="3"/>
  <c r="BA548" i="3" s="1"/>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A549" i="3" s="1"/>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H36" i="39" s="1"/>
  <c r="AB36" i="39" s="1"/>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AA40" i="33" s="1"/>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c r="G90" i="40" s="1"/>
  <c r="D88" i="40"/>
  <c r="E88" i="40"/>
  <c r="D86" i="40"/>
  <c r="E86" i="40" s="1"/>
  <c r="F86" i="40" s="1"/>
  <c r="G86" i="40"/>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AB34" i="40" s="1"/>
  <c r="F34" i="40"/>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U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D88" i="39"/>
  <c r="E88" i="39"/>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c r="D73" i="37"/>
  <c r="E73" i="37" s="1"/>
  <c r="F73" i="37"/>
  <c r="D71" i="37"/>
  <c r="H15" i="37"/>
  <c r="AB15" i="37" s="1"/>
  <c r="B68" i="37"/>
  <c r="H14" i="37" s="1"/>
  <c r="AB14" i="37" s="1"/>
  <c r="B66" i="37"/>
  <c r="B64" i="37"/>
  <c r="J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Q25" i="37"/>
  <c r="Z25" i="37" s="1"/>
  <c r="J25" i="37"/>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F33" i="36" s="1"/>
  <c r="B91" i="36"/>
  <c r="F32" i="36" s="1"/>
  <c r="B95" i="36"/>
  <c r="H34" i="36" s="1"/>
  <c r="U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B59" i="36"/>
  <c r="B57" i="36"/>
  <c r="J12" i="36" s="1"/>
  <c r="W12" i="36" s="1"/>
  <c r="B55" i="36"/>
  <c r="C51" i="36"/>
  <c r="H9" i="36" s="1"/>
  <c r="AB9" i="36" s="1"/>
  <c r="P37" i="36"/>
  <c r="P36" i="36"/>
  <c r="V35" i="36"/>
  <c r="T35" i="36"/>
  <c r="R35" i="36"/>
  <c r="P35" i="36"/>
  <c r="Q34" i="36"/>
  <c r="Z34" i="36" s="1"/>
  <c r="Q33" i="36"/>
  <c r="Z33" i="36"/>
  <c r="Q32" i="36"/>
  <c r="Z32" i="36" s="1"/>
  <c r="Q31" i="36"/>
  <c r="Z31" i="36" s="1"/>
  <c r="Q30" i="36"/>
  <c r="Z30" i="36" s="1"/>
  <c r="Q29" i="36"/>
  <c r="Z29" i="36" s="1"/>
  <c r="Q28" i="36"/>
  <c r="Z28" i="36" s="1"/>
  <c r="J28" i="36"/>
  <c r="Q27" i="36"/>
  <c r="Z27" i="36"/>
  <c r="Q26" i="36"/>
  <c r="Z26" i="36" s="1"/>
  <c r="H26" i="36"/>
  <c r="AB26" i="36" s="1"/>
  <c r="Q25" i="36"/>
  <c r="Z25" i="36" s="1"/>
  <c r="Q24" i="36"/>
  <c r="Z24" i="36" s="1"/>
  <c r="Q23" i="36"/>
  <c r="Z23" i="36" s="1"/>
  <c r="F23" i="36"/>
  <c r="AA23" i="36" s="1"/>
  <c r="Q22" i="36"/>
  <c r="Z22" i="36" s="1"/>
  <c r="J22" i="36"/>
  <c r="AC22" i="36" s="1"/>
  <c r="Q20" i="36"/>
  <c r="Z20" i="36"/>
  <c r="Q16" i="36"/>
  <c r="Z16" i="36" s="1"/>
  <c r="Q14" i="36"/>
  <c r="Z14" i="36" s="1"/>
  <c r="Q13" i="36"/>
  <c r="Z13" i="36" s="1"/>
  <c r="Q12" i="36"/>
  <c r="Z12" i="36"/>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H34" i="35" s="1"/>
  <c r="AB34" i="35" s="1"/>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c r="AC9" i="35" s="1"/>
  <c r="P39" i="35"/>
  <c r="P38" i="35"/>
  <c r="V37" i="35"/>
  <c r="T37" i="35"/>
  <c r="R37" i="35"/>
  <c r="P37" i="35"/>
  <c r="Q36" i="35"/>
  <c r="Z36" i="35" s="1"/>
  <c r="Q35" i="35"/>
  <c r="Z35" i="35" s="1"/>
  <c r="Q34" i="35"/>
  <c r="Z34" i="35" s="1"/>
  <c r="Q33" i="35"/>
  <c r="Z33" i="35"/>
  <c r="Q32" i="35"/>
  <c r="Z32" i="35" s="1"/>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s="1"/>
  <c r="Q12" i="34"/>
  <c r="Z12" i="34"/>
  <c r="F12" i="34"/>
  <c r="S12" i="34" s="1"/>
  <c r="Q11" i="34"/>
  <c r="Z11" i="34" s="1"/>
  <c r="Q10" i="34"/>
  <c r="Z10" i="34" s="1"/>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c r="F117" i="33" s="1"/>
  <c r="G117" i="33" s="1"/>
  <c r="D115" i="33"/>
  <c r="E115" i="33" s="1"/>
  <c r="F115" i="33"/>
  <c r="G115" i="33" s="1"/>
  <c r="H115" i="33" s="1"/>
  <c r="I115" i="33" s="1"/>
  <c r="J115" i="33" s="1"/>
  <c r="K115" i="33" s="1"/>
  <c r="L115" i="33" s="1"/>
  <c r="M115" i="33" s="1"/>
  <c r="D108" i="33"/>
  <c r="E108" i="33" s="1"/>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c r="J40" i="33"/>
  <c r="H40" i="33"/>
  <c r="AB40" i="33"/>
  <c r="Q39" i="33"/>
  <c r="Z39" i="33" s="1"/>
  <c r="J39" i="33"/>
  <c r="AC39" i="33"/>
  <c r="Q38" i="33"/>
  <c r="Z38" i="33" s="1"/>
  <c r="J38" i="33"/>
  <c r="AC38" i="33" s="1"/>
  <c r="H38" i="33"/>
  <c r="AB38" i="33"/>
  <c r="F38" i="33"/>
  <c r="AA38" i="33"/>
  <c r="Q37" i="33"/>
  <c r="Z37" i="33" s="1"/>
  <c r="Q36" i="33"/>
  <c r="Z36" i="33" s="1"/>
  <c r="Q35" i="33"/>
  <c r="Z35" i="33"/>
  <c r="H35" i="33"/>
  <c r="AB35" i="33"/>
  <c r="Q34" i="33"/>
  <c r="Z34" i="33" s="1"/>
  <c r="Q33" i="33"/>
  <c r="Z33" i="33" s="1"/>
  <c r="J33" i="33"/>
  <c r="AC33" i="33" s="1"/>
  <c r="H33" i="33"/>
  <c r="F33" i="33"/>
  <c r="AA33" i="33" s="1"/>
  <c r="Q32" i="33"/>
  <c r="Z32" i="33" s="1"/>
  <c r="Q31" i="33"/>
  <c r="Z31" i="33" s="1"/>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s="1"/>
  <c r="Q13" i="33"/>
  <c r="Z13" i="33" s="1"/>
  <c r="Q12" i="33"/>
  <c r="Z12" i="33" s="1"/>
  <c r="H12" i="33"/>
  <c r="U12" i="33" s="1"/>
  <c r="Q11" i="33"/>
  <c r="Z11" i="33" s="1"/>
  <c r="Q10" i="33"/>
  <c r="Z10" i="33" s="1"/>
  <c r="Q9" i="33"/>
  <c r="Z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1" i="21"/>
  <c r="F81" i="21" s="1"/>
  <c r="G81" i="21" s="1"/>
  <c r="D77" i="21"/>
  <c r="E77" i="21" s="1"/>
  <c r="B130" i="21"/>
  <c r="B128" i="21"/>
  <c r="J45" i="21" s="1"/>
  <c r="W45" i="21" s="1"/>
  <c r="B126" i="21"/>
  <c r="B98" i="21"/>
  <c r="H31" i="21" s="1"/>
  <c r="B96" i="21"/>
  <c r="B94" i="21"/>
  <c r="J29" i="21"/>
  <c r="AC29" i="21" s="1"/>
  <c r="B92" i="21"/>
  <c r="B90" i="21"/>
  <c r="J27" i="21" s="1"/>
  <c r="W27" i="21" s="1"/>
  <c r="B74" i="21"/>
  <c r="B72" i="21"/>
  <c r="H13" i="21"/>
  <c r="B70" i="21"/>
  <c r="F12" i="21" s="1"/>
  <c r="C19" i="21"/>
  <c r="C17" i="21"/>
  <c r="C23" i="21"/>
  <c r="Q9" i="21"/>
  <c r="Z9" i="21"/>
  <c r="Q10" i="21"/>
  <c r="Z10" i="21"/>
  <c r="Q11" i="21"/>
  <c r="Z11" i="21" s="1"/>
  <c r="Q12" i="21"/>
  <c r="Z12" i="21" s="1"/>
  <c r="Q13" i="21"/>
  <c r="Z13" i="21"/>
  <c r="Q14" i="21"/>
  <c r="Z14" i="21"/>
  <c r="Q15" i="21"/>
  <c r="Z15" i="21" s="1"/>
  <c r="Q17" i="21"/>
  <c r="Z17" i="21" s="1"/>
  <c r="Q19" i="21"/>
  <c r="Z19" i="21"/>
  <c r="Q23" i="21"/>
  <c r="Z23" i="21"/>
  <c r="Q25" i="21"/>
  <c r="Z25" i="21" s="1"/>
  <c r="Q26" i="21"/>
  <c r="Z26" i="21" s="1"/>
  <c r="Q27" i="21"/>
  <c r="Z27" i="21" s="1"/>
  <c r="Q28" i="21"/>
  <c r="Z28" i="21" s="1"/>
  <c r="Q29" i="21"/>
  <c r="Z29" i="21" s="1"/>
  <c r="Q30" i="21"/>
  <c r="Z30" i="21"/>
  <c r="Q31" i="21"/>
  <c r="Z31" i="21"/>
  <c r="Q32" i="21"/>
  <c r="Z32" i="21"/>
  <c r="Q33" i="21"/>
  <c r="Z33" i="21" s="1"/>
  <c r="Q34" i="21"/>
  <c r="Z34" i="21" s="1"/>
  <c r="J35" i="21"/>
  <c r="W35" i="21" s="1"/>
  <c r="Q35" i="21"/>
  <c r="Z35" i="21"/>
  <c r="Q36" i="21"/>
  <c r="Z36" i="21" s="1"/>
  <c r="Q37" i="21"/>
  <c r="Z37" i="21"/>
  <c r="J38" i="21"/>
  <c r="W38" i="21" s="1"/>
  <c r="Q38" i="21"/>
  <c r="Z38" i="21"/>
  <c r="J39" i="21"/>
  <c r="AC39" i="21" s="1"/>
  <c r="Q39" i="21"/>
  <c r="Z39" i="21" s="1"/>
  <c r="H40" i="21"/>
  <c r="AB40" i="21"/>
  <c r="Q40" i="21"/>
  <c r="Z40" i="21"/>
  <c r="Q41" i="21"/>
  <c r="Z41" i="21" s="1"/>
  <c r="Q42" i="21"/>
  <c r="Z42" i="21" s="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T5" i="3" s="1"/>
  <c r="BB587" i="3"/>
  <c r="BC587" i="3"/>
  <c r="BD587" i="3"/>
  <c r="BE587" i="3"/>
  <c r="BF587" i="3"/>
  <c r="BG587" i="3"/>
  <c r="BH587" i="3"/>
  <c r="BI587" i="3"/>
  <c r="BA587" i="3" s="1"/>
  <c r="BJ587" i="3"/>
  <c r="BK587" i="3"/>
  <c r="BM587" i="3"/>
  <c r="BN587" i="3"/>
  <c r="BO587" i="3"/>
  <c r="BP587" i="3"/>
  <c r="BQ587" i="3"/>
  <c r="BR587" i="3"/>
  <c r="BR5" i="3" s="1"/>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AA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c r="F26" i="21"/>
  <c r="S26" i="21" s="1"/>
  <c r="AB41" i="21"/>
  <c r="AA41" i="21"/>
  <c r="F45" i="39"/>
  <c r="S45" i="39" s="1"/>
  <c r="J45" i="39"/>
  <c r="W45" i="39" s="1"/>
  <c r="J44" i="39"/>
  <c r="AC44" i="39" s="1"/>
  <c r="F36" i="39"/>
  <c r="S36" i="39" s="1"/>
  <c r="J35" i="39"/>
  <c r="AC35" i="39" s="1"/>
  <c r="F35" i="39"/>
  <c r="S35" i="39" s="1"/>
  <c r="J36" i="39"/>
  <c r="AC36" i="39" s="1"/>
  <c r="U30" i="37"/>
  <c r="W31" i="37"/>
  <c r="F103" i="37"/>
  <c r="G103" i="37" s="1"/>
  <c r="H103" i="37" s="1"/>
  <c r="I103" i="37" s="1"/>
  <c r="J103" i="37" s="1"/>
  <c r="K103" i="37" s="1"/>
  <c r="L103" i="37" s="1"/>
  <c r="M103" i="37" s="1"/>
  <c r="F39" i="37"/>
  <c r="S39" i="37" s="1"/>
  <c r="F29" i="36"/>
  <c r="AA29" i="36" s="1"/>
  <c r="F16" i="36"/>
  <c r="AA16" i="36" s="1"/>
  <c r="U31" i="36"/>
  <c r="J33" i="36"/>
  <c r="AC33" i="36" s="1"/>
  <c r="H22" i="35"/>
  <c r="AB22" i="35"/>
  <c r="AC27" i="35"/>
  <c r="U31" i="35"/>
  <c r="W22" i="35"/>
  <c r="S31" i="35"/>
  <c r="F36" i="34"/>
  <c r="J35" i="34"/>
  <c r="U34" i="34"/>
  <c r="H39" i="33"/>
  <c r="AB39" i="33" s="1"/>
  <c r="F26" i="33"/>
  <c r="AA26" i="33"/>
  <c r="U35" i="33"/>
  <c r="S40" i="33"/>
  <c r="W39" i="33"/>
  <c r="H39" i="37"/>
  <c r="AB39" i="37"/>
  <c r="S27" i="35"/>
  <c r="F11" i="40"/>
  <c r="AA11" i="40"/>
  <c r="H11" i="40"/>
  <c r="AB11" i="40" s="1"/>
  <c r="W8" i="40"/>
  <c r="AA9" i="40"/>
  <c r="U9" i="40"/>
  <c r="U38" i="40"/>
  <c r="U34" i="40"/>
  <c r="S38" i="40"/>
  <c r="F42" i="39"/>
  <c r="AA42" i="39" s="1"/>
  <c r="F41" i="39"/>
  <c r="S41" i="39" s="1"/>
  <c r="H40" i="39"/>
  <c r="H39" i="39"/>
  <c r="U39" i="39" s="1"/>
  <c r="S38" i="39"/>
  <c r="S34" i="39"/>
  <c r="H34" i="39"/>
  <c r="U34" i="39" s="1"/>
  <c r="E108" i="39"/>
  <c r="F31" i="39"/>
  <c r="AA31" i="39" s="1"/>
  <c r="E100" i="39"/>
  <c r="F100" i="39" s="1"/>
  <c r="H19" i="39"/>
  <c r="AB19" i="39" s="1"/>
  <c r="F19" i="39"/>
  <c r="AA19" i="39" s="1"/>
  <c r="J23" i="40"/>
  <c r="AC23" i="40"/>
  <c r="F21" i="40"/>
  <c r="AA21" i="40"/>
  <c r="J21" i="40"/>
  <c r="W21" i="40" s="1"/>
  <c r="H42" i="39"/>
  <c r="AB42" i="39" s="1"/>
  <c r="J34" i="39"/>
  <c r="AC34" i="39" s="1"/>
  <c r="F108" i="39"/>
  <c r="G108" i="39" s="1"/>
  <c r="H108" i="39" s="1"/>
  <c r="I108" i="39" s="1"/>
  <c r="J108" i="39" s="1"/>
  <c r="K108" i="39" s="1"/>
  <c r="L108" i="39" s="1"/>
  <c r="M108" i="39" s="1"/>
  <c r="J31" i="39"/>
  <c r="W31" i="39" s="1"/>
  <c r="H27" i="39"/>
  <c r="U27" i="39" s="1"/>
  <c r="J19" i="39"/>
  <c r="AC19" i="39" s="1"/>
  <c r="J27" i="39"/>
  <c r="F27" i="39"/>
  <c r="AA27" i="39" s="1"/>
  <c r="F11" i="21"/>
  <c r="S11" i="21" s="1"/>
  <c r="S40" i="21"/>
  <c r="C25" i="39"/>
  <c r="H11" i="39"/>
  <c r="S40" i="39"/>
  <c r="C15" i="39"/>
  <c r="H32" i="33"/>
  <c r="AB32" i="33"/>
  <c r="H11" i="21"/>
  <c r="U11" i="21" s="1"/>
  <c r="J11" i="21"/>
  <c r="W11" i="21" s="1"/>
  <c r="H37" i="40"/>
  <c r="U37" i="40" s="1"/>
  <c r="H36" i="40"/>
  <c r="AB36" i="40" s="1"/>
  <c r="F35" i="40"/>
  <c r="AA35" i="40" s="1"/>
  <c r="H23" i="40"/>
  <c r="AB23" i="40" s="1"/>
  <c r="H17" i="40"/>
  <c r="U17" i="40"/>
  <c r="J15" i="40"/>
  <c r="W15" i="40" s="1"/>
  <c r="J11" i="40"/>
  <c r="W11" i="40"/>
  <c r="AB12" i="35"/>
  <c r="W32" i="40"/>
  <c r="S44" i="39"/>
  <c r="F37" i="39"/>
  <c r="AA37" i="39" s="1"/>
  <c r="U30" i="36"/>
  <c r="J30" i="35"/>
  <c r="W30" i="35" s="1"/>
  <c r="H30" i="35"/>
  <c r="AB30" i="35" s="1"/>
  <c r="F22" i="35"/>
  <c r="AA22" i="35" s="1"/>
  <c r="H10" i="35"/>
  <c r="U10" i="35" s="1"/>
  <c r="AA33" i="36"/>
  <c r="W30" i="36"/>
  <c r="H16" i="36"/>
  <c r="E85" i="36"/>
  <c r="F85" i="36" s="1"/>
  <c r="G85" i="36" s="1"/>
  <c r="H85" i="36" s="1"/>
  <c r="I85" i="36" s="1"/>
  <c r="J85" i="36" s="1"/>
  <c r="K85" i="36" s="1"/>
  <c r="L85" i="36" s="1"/>
  <c r="M85" i="36" s="1"/>
  <c r="J29" i="36"/>
  <c r="AC29" i="36" s="1"/>
  <c r="F12" i="36"/>
  <c r="S12" i="36" s="1"/>
  <c r="F24" i="36"/>
  <c r="AA24" i="36" s="1"/>
  <c r="F14" i="35"/>
  <c r="AA14" i="35" s="1"/>
  <c r="J32" i="35"/>
  <c r="AC32" i="35" s="1"/>
  <c r="J16" i="35"/>
  <c r="AC16" i="35" s="1"/>
  <c r="H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E114" i="34"/>
  <c r="H36" i="34"/>
  <c r="U36" i="34" s="1"/>
  <c r="F37" i="34"/>
  <c r="AA37" i="34" s="1"/>
  <c r="S35" i="34"/>
  <c r="F28" i="34"/>
  <c r="AA28" i="34" s="1"/>
  <c r="F25" i="34"/>
  <c r="H23" i="34"/>
  <c r="U23" i="34" s="1"/>
  <c r="J23" i="34"/>
  <c r="F19" i="34"/>
  <c r="H17" i="34"/>
  <c r="U17" i="34"/>
  <c r="F15" i="34"/>
  <c r="AA15" i="34" s="1"/>
  <c r="J15" i="34"/>
  <c r="H15" i="34"/>
  <c r="W8" i="34"/>
  <c r="J28" i="34"/>
  <c r="W28" i="34" s="1"/>
  <c r="F41" i="33"/>
  <c r="S41" i="33" s="1"/>
  <c r="AA41" i="33"/>
  <c r="S38" i="33"/>
  <c r="E113" i="33"/>
  <c r="F32" i="33"/>
  <c r="J19" i="33"/>
  <c r="AC19" i="33"/>
  <c r="J15" i="33"/>
  <c r="AC15" i="33" s="1"/>
  <c r="F11" i="33"/>
  <c r="AA11" i="33" s="1"/>
  <c r="S26" i="33"/>
  <c r="U40" i="33"/>
  <c r="F37" i="40"/>
  <c r="AA37" i="40" s="1"/>
  <c r="F36" i="40"/>
  <c r="AA36" i="40" s="1"/>
  <c r="H28" i="40"/>
  <c r="U28" i="40"/>
  <c r="F23" i="40"/>
  <c r="AA23" i="40" s="1"/>
  <c r="F17" i="40"/>
  <c r="AA17" i="40" s="1"/>
  <c r="J17" i="40"/>
  <c r="F15" i="40"/>
  <c r="S15" i="40" s="1"/>
  <c r="H15" i="40"/>
  <c r="AB15" i="40" s="1"/>
  <c r="AC11"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c r="AB23" i="34"/>
  <c r="F23" i="34"/>
  <c r="AA23" i="34" s="1"/>
  <c r="J19" i="34"/>
  <c r="AC19" i="34" s="1"/>
  <c r="F17" i="34"/>
  <c r="AA17" i="34" s="1"/>
  <c r="J17" i="34"/>
  <c r="W17" i="34" s="1"/>
  <c r="AB17" i="34"/>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J42" i="21"/>
  <c r="AC42" i="21" s="1"/>
  <c r="H42" i="21"/>
  <c r="U42" i="21" s="1"/>
  <c r="J44" i="34"/>
  <c r="F44" i="34"/>
  <c r="AA44" i="34" s="1"/>
  <c r="J10" i="35"/>
  <c r="AC10" i="35" s="1"/>
  <c r="J14" i="21"/>
  <c r="W14" i="21" s="1"/>
  <c r="F14" i="21"/>
  <c r="S14" i="21" s="1"/>
  <c r="H14" i="21"/>
  <c r="U14" i="21"/>
  <c r="H28" i="21"/>
  <c r="AB28" i="21" s="1"/>
  <c r="F28" i="21"/>
  <c r="AA28" i="21" s="1"/>
  <c r="J28" i="21"/>
  <c r="W28" i="21" s="1"/>
  <c r="H30" i="21"/>
  <c r="U30" i="21"/>
  <c r="F30" i="21"/>
  <c r="S30" i="21" s="1"/>
  <c r="J30" i="21"/>
  <c r="AC30" i="21" s="1"/>
  <c r="J44" i="21"/>
  <c r="AC44" i="21" s="1"/>
  <c r="H44" i="21"/>
  <c r="U44" i="21" s="1"/>
  <c r="F44" i="21"/>
  <c r="AA44" i="21" s="1"/>
  <c r="H46" i="21"/>
  <c r="U46" i="21" s="1"/>
  <c r="E119" i="21"/>
  <c r="F119" i="21" s="1"/>
  <c r="G119" i="21" s="1"/>
  <c r="H119" i="21" s="1"/>
  <c r="I119" i="21" s="1"/>
  <c r="J119" i="21" s="1"/>
  <c r="K119" i="21" s="1"/>
  <c r="L119" i="21" s="1"/>
  <c r="M119" i="21" s="1"/>
  <c r="H26" i="33"/>
  <c r="U26" i="33" s="1"/>
  <c r="H28" i="33"/>
  <c r="U28" i="33" s="1"/>
  <c r="F28" i="33"/>
  <c r="AA28" i="33" s="1"/>
  <c r="J28" i="33"/>
  <c r="W28" i="33"/>
  <c r="F33" i="35"/>
  <c r="S33" i="35" s="1"/>
  <c r="J33" i="35"/>
  <c r="AC33" i="35" s="1"/>
  <c r="F30" i="35"/>
  <c r="S30" i="35" s="1"/>
  <c r="E89" i="35"/>
  <c r="F89" i="35" s="1"/>
  <c r="G89" i="35" s="1"/>
  <c r="H89" i="35" s="1"/>
  <c r="I89" i="35" s="1"/>
  <c r="J89" i="35" s="1"/>
  <c r="K89" i="35" s="1"/>
  <c r="L89" i="35" s="1"/>
  <c r="M89" i="35" s="1"/>
  <c r="H10" i="36"/>
  <c r="AB10" i="36" s="1"/>
  <c r="F28" i="36"/>
  <c r="AA28" i="36" s="1"/>
  <c r="J13" i="21"/>
  <c r="AC13" i="21" s="1"/>
  <c r="H27" i="21"/>
  <c r="AB27" i="21"/>
  <c r="F27" i="21"/>
  <c r="AA27" i="21" s="1"/>
  <c r="H29" i="21"/>
  <c r="U29" i="21"/>
  <c r="J31" i="21"/>
  <c r="AC31" i="21" s="1"/>
  <c r="F31" i="21"/>
  <c r="S31" i="21" s="1"/>
  <c r="F45" i="21"/>
  <c r="AA45" i="21" s="1"/>
  <c r="F27" i="33"/>
  <c r="AA27" i="33"/>
  <c r="J13" i="33"/>
  <c r="H13" i="33"/>
  <c r="U13" i="33" s="1"/>
  <c r="F13" i="33"/>
  <c r="S13" i="33"/>
  <c r="J29" i="33"/>
  <c r="H29" i="33"/>
  <c r="U29" i="33"/>
  <c r="F29" i="33"/>
  <c r="S29" i="33" s="1"/>
  <c r="J31" i="33"/>
  <c r="W31" i="33"/>
  <c r="H31" i="33"/>
  <c r="F31" i="33"/>
  <c r="H45" i="33"/>
  <c r="U45" i="33" s="1"/>
  <c r="J45" i="33"/>
  <c r="W45" i="33" s="1"/>
  <c r="F45" i="33"/>
  <c r="AA45" i="33" s="1"/>
  <c r="J14" i="34"/>
  <c r="W14" i="34" s="1"/>
  <c r="F14" i="34"/>
  <c r="S14" i="34"/>
  <c r="H14" i="34"/>
  <c r="H30" i="34"/>
  <c r="F30" i="34"/>
  <c r="S30" i="34"/>
  <c r="J30" i="34"/>
  <c r="H32" i="34"/>
  <c r="F32" i="34"/>
  <c r="J32" i="34"/>
  <c r="W32" i="34" s="1"/>
  <c r="H46" i="34"/>
  <c r="U46" i="34" s="1"/>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c r="F105" i="37"/>
  <c r="G105" i="37" s="1"/>
  <c r="H36" i="37"/>
  <c r="AB36" i="37"/>
  <c r="F107" i="37"/>
  <c r="J37" i="37"/>
  <c r="AC37" i="37" s="1"/>
  <c r="H37" i="37"/>
  <c r="U37" i="37" s="1"/>
  <c r="H40" i="37"/>
  <c r="U40" i="37" s="1"/>
  <c r="J40" i="37"/>
  <c r="AC40" i="37" s="1"/>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s="1"/>
  <c r="H13" i="34"/>
  <c r="U13" i="34" s="1"/>
  <c r="J13" i="34"/>
  <c r="W13" i="34" s="1"/>
  <c r="F13" i="34"/>
  <c r="AA13" i="34" s="1"/>
  <c r="J29" i="34"/>
  <c r="F29" i="34"/>
  <c r="S29" i="34"/>
  <c r="H29" i="34"/>
  <c r="AB29" i="34" s="1"/>
  <c r="J31" i="34"/>
  <c r="AC31" i="34"/>
  <c r="H31" i="34"/>
  <c r="F31" i="34"/>
  <c r="S31" i="34"/>
  <c r="H45" i="34"/>
  <c r="U45" i="34" s="1"/>
  <c r="J45" i="34"/>
  <c r="W45" i="34" s="1"/>
  <c r="F45" i="34"/>
  <c r="S45" i="34" s="1"/>
  <c r="H47" i="34"/>
  <c r="U47" i="34" s="1"/>
  <c r="F47" i="34"/>
  <c r="S47" i="34" s="1"/>
  <c r="J47" i="34"/>
  <c r="F13" i="35"/>
  <c r="J13" i="35"/>
  <c r="AC13" i="35" s="1"/>
  <c r="H13" i="35"/>
  <c r="U13" i="35" s="1"/>
  <c r="J25" i="35"/>
  <c r="W25" i="35" s="1"/>
  <c r="F25" i="35"/>
  <c r="H25" i="35"/>
  <c r="AB25" i="35"/>
  <c r="J35" i="35"/>
  <c r="AC35" i="35" s="1"/>
  <c r="F35" i="35"/>
  <c r="AA35" i="35" s="1"/>
  <c r="H35" i="35"/>
  <c r="J25" i="36"/>
  <c r="W25" i="36" s="1"/>
  <c r="F25" i="36"/>
  <c r="S25" i="36" s="1"/>
  <c r="H25" i="36"/>
  <c r="AB25" i="36" s="1"/>
  <c r="H13" i="37"/>
  <c r="AB13" i="37" s="1"/>
  <c r="F13" i="37"/>
  <c r="S13" i="37" s="1"/>
  <c r="J13" i="37"/>
  <c r="W13" i="37" s="1"/>
  <c r="F28" i="37"/>
  <c r="AA28" i="37" s="1"/>
  <c r="J28" i="37"/>
  <c r="AC28" i="37"/>
  <c r="H28" i="37"/>
  <c r="H38" i="37"/>
  <c r="AB38" i="37"/>
  <c r="J38" i="37"/>
  <c r="AC38" i="37" s="1"/>
  <c r="F38" i="37"/>
  <c r="S38" i="37"/>
  <c r="F43" i="39"/>
  <c r="AA43" i="39" s="1"/>
  <c r="H43" i="39"/>
  <c r="U43" i="39" s="1"/>
  <c r="J14" i="39"/>
  <c r="AC14" i="39" s="1"/>
  <c r="F14" i="39"/>
  <c r="S14" i="39" s="1"/>
  <c r="H14" i="39"/>
  <c r="AB14" i="39" s="1"/>
  <c r="F12" i="40"/>
  <c r="S12" i="40"/>
  <c r="H12" i="40"/>
  <c r="AB12" i="40"/>
  <c r="H30" i="40"/>
  <c r="AB30" i="40" s="1"/>
  <c r="F33" i="40"/>
  <c r="AA33" i="40" s="1"/>
  <c r="H33" i="40"/>
  <c r="U33" i="40"/>
  <c r="J35" i="40"/>
  <c r="AC35" i="40"/>
  <c r="J37" i="40"/>
  <c r="AC37" i="40" s="1"/>
  <c r="H13" i="40"/>
  <c r="U13" i="40" s="1"/>
  <c r="J13" i="40"/>
  <c r="W13" i="40"/>
  <c r="F13" i="40"/>
  <c r="AA13" i="40"/>
  <c r="F14" i="37"/>
  <c r="S14" i="37" s="1"/>
  <c r="F27" i="37"/>
  <c r="AA27" i="37" s="1"/>
  <c r="F13" i="39"/>
  <c r="AA13" i="39" s="1"/>
  <c r="J13" i="39"/>
  <c r="H13" i="39"/>
  <c r="AB13" i="39" s="1"/>
  <c r="H14" i="40"/>
  <c r="U14" i="40" s="1"/>
  <c r="J14" i="40"/>
  <c r="W14" i="40" s="1"/>
  <c r="F14" i="40"/>
  <c r="AA14" i="40" s="1"/>
  <c r="J14" i="37"/>
  <c r="J27" i="37"/>
  <c r="AC27" i="37" s="1"/>
  <c r="AA44" i="33"/>
  <c r="AA14" i="33"/>
  <c r="J36" i="37"/>
  <c r="AC36" i="37" s="1"/>
  <c r="J10" i="36"/>
  <c r="AC10" i="36" s="1"/>
  <c r="AB26" i="33"/>
  <c r="AB30" i="21"/>
  <c r="AA14" i="37"/>
  <c r="W31" i="34"/>
  <c r="AA14" i="34"/>
  <c r="AB45" i="33"/>
  <c r="S44" i="34"/>
  <c r="F17" i="21"/>
  <c r="AA17" i="21" s="1"/>
  <c r="H17" i="21"/>
  <c r="AB17" i="21" s="1"/>
  <c r="F15" i="21"/>
  <c r="S15" i="21" s="1"/>
  <c r="J41" i="39"/>
  <c r="W41" i="39" s="1"/>
  <c r="W44" i="39"/>
  <c r="U36" i="39"/>
  <c r="G544" i="3"/>
  <c r="G536" i="3"/>
  <c r="G532" i="3"/>
  <c r="G531" i="3"/>
  <c r="G528" i="3"/>
  <c r="G527" i="3"/>
  <c r="G523" i="3"/>
  <c r="G518" i="3"/>
  <c r="G514" i="3"/>
  <c r="G508" i="3"/>
  <c r="G504" i="3"/>
  <c r="G500" i="3"/>
  <c r="G496" i="3"/>
  <c r="G584" i="3"/>
  <c r="G580" i="3"/>
  <c r="G576" i="3"/>
  <c r="G572" i="3"/>
  <c r="G568" i="3"/>
  <c r="G564" i="3"/>
  <c r="G560" i="3"/>
  <c r="G554" i="3"/>
  <c r="G550" i="3"/>
  <c r="BL584" i="3"/>
  <c r="BL580" i="3"/>
  <c r="BL576" i="3"/>
  <c r="BL572" i="3"/>
  <c r="BL568" i="3"/>
  <c r="BL564" i="3"/>
  <c r="BL560" i="3"/>
  <c r="BL554" i="3"/>
  <c r="BL534" i="3"/>
  <c r="BL498" i="3"/>
  <c r="BL582" i="3"/>
  <c r="BL578" i="3"/>
  <c r="BL574" i="3"/>
  <c r="BL570" i="3"/>
  <c r="BL566" i="3"/>
  <c r="BL562" i="3"/>
  <c r="BL556" i="3"/>
  <c r="AZ556" i="3" s="1"/>
  <c r="BL552" i="3"/>
  <c r="G529" i="3"/>
  <c r="BL528" i="3"/>
  <c r="G525" i="3"/>
  <c r="BL496" i="3"/>
  <c r="AZ496" i="3" s="1"/>
  <c r="G493" i="3"/>
  <c r="BA584" i="3"/>
  <c r="AZ584" i="3" s="1"/>
  <c r="BA582" i="3"/>
  <c r="BA580" i="3"/>
  <c r="BA578" i="3"/>
  <c r="BA576" i="3"/>
  <c r="AZ576" i="3" s="1"/>
  <c r="BA574" i="3"/>
  <c r="AZ574" i="3" s="1"/>
  <c r="BA572" i="3"/>
  <c r="AZ572" i="3" s="1"/>
  <c r="BA570" i="3"/>
  <c r="BA568" i="3"/>
  <c r="AZ568" i="3" s="1"/>
  <c r="BA566" i="3"/>
  <c r="AZ566" i="3" s="1"/>
  <c r="BA564" i="3"/>
  <c r="BA562" i="3"/>
  <c r="BA560" i="3"/>
  <c r="AZ560" i="3" s="1"/>
  <c r="BA558" i="3"/>
  <c r="AZ558" i="3"/>
  <c r="BA556" i="3"/>
  <c r="BA554" i="3"/>
  <c r="AZ554" i="3" s="1"/>
  <c r="BA552" i="3"/>
  <c r="AZ552" i="3" s="1"/>
  <c r="BA546" i="3"/>
  <c r="AZ546" i="3" s="1"/>
  <c r="BA536" i="3"/>
  <c r="AZ536" i="3" s="1"/>
  <c r="BA526" i="3"/>
  <c r="AZ526" i="3" s="1"/>
  <c r="BA522" i="3"/>
  <c r="AZ522" i="3" s="1"/>
  <c r="AZ512" i="3"/>
  <c r="BA500" i="3"/>
  <c r="BA496" i="3"/>
  <c r="BA583" i="3"/>
  <c r="BA581" i="3"/>
  <c r="BA579" i="3"/>
  <c r="BA577" i="3"/>
  <c r="BA575" i="3"/>
  <c r="BA573" i="3"/>
  <c r="BA571" i="3"/>
  <c r="BA569" i="3"/>
  <c r="BA567" i="3"/>
  <c r="BA565" i="3"/>
  <c r="AZ565" i="3" s="1"/>
  <c r="BA563" i="3"/>
  <c r="BA561" i="3"/>
  <c r="BA559" i="3"/>
  <c r="AZ559" i="3" s="1"/>
  <c r="BA555" i="3"/>
  <c r="BA553" i="3"/>
  <c r="BA545" i="3"/>
  <c r="BA529" i="3"/>
  <c r="AZ529" i="3" s="1"/>
  <c r="BA511" i="3"/>
  <c r="BA505" i="3"/>
  <c r="BA503" i="3"/>
  <c r="BA493" i="3"/>
  <c r="AZ493" i="3" s="1"/>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s="1"/>
  <c r="BQ577" i="3"/>
  <c r="BL577" i="3" s="1"/>
  <c r="BQ575" i="3"/>
  <c r="BL575" i="3" s="1"/>
  <c r="BQ573" i="3"/>
  <c r="BL573" i="3" s="1"/>
  <c r="AZ573" i="3" s="1"/>
  <c r="BQ571" i="3"/>
  <c r="BL571" i="3" s="1"/>
  <c r="BQ569" i="3"/>
  <c r="BL569" i="3" s="1"/>
  <c r="AZ569" i="3" s="1"/>
  <c r="BQ567" i="3"/>
  <c r="BL567" i="3" s="1"/>
  <c r="BQ565" i="3"/>
  <c r="BL565" i="3" s="1"/>
  <c r="BQ563" i="3"/>
  <c r="BL563" i="3" s="1"/>
  <c r="AZ563" i="3" s="1"/>
  <c r="BQ561" i="3"/>
  <c r="BL561" i="3"/>
  <c r="BQ559" i="3"/>
  <c r="BL559" i="3" s="1"/>
  <c r="G559" i="3"/>
  <c r="G555" i="3"/>
  <c r="G553" i="3"/>
  <c r="G547" i="3"/>
  <c r="G545" i="3"/>
  <c r="G543" i="3"/>
  <c r="G541" i="3"/>
  <c r="G539" i="3"/>
  <c r="G537" i="3"/>
  <c r="BQ555" i="3"/>
  <c r="BL555" i="3" s="1"/>
  <c r="BQ553" i="3"/>
  <c r="BL553" i="3" s="1"/>
  <c r="AZ553" i="3"/>
  <c r="BQ551" i="3"/>
  <c r="BL551" i="3" s="1"/>
  <c r="BQ549" i="3"/>
  <c r="BL549" i="3" s="1"/>
  <c r="AZ549" i="3" s="1"/>
  <c r="BQ547" i="3"/>
  <c r="BQ545" i="3"/>
  <c r="BQ543" i="3"/>
  <c r="BQ541" i="3"/>
  <c r="BQ539" i="3"/>
  <c r="BL539" i="3" s="1"/>
  <c r="AZ539" i="3" s="1"/>
  <c r="BQ537" i="3"/>
  <c r="BQ535" i="3"/>
  <c r="BQ533" i="3"/>
  <c r="BQ531" i="3"/>
  <c r="BQ529" i="3"/>
  <c r="BL529" i="3"/>
  <c r="BQ527" i="3"/>
  <c r="BQ525" i="3"/>
  <c r="BQ523" i="3"/>
  <c r="BL523" i="3" s="1"/>
  <c r="AC521" i="3"/>
  <c r="G521" i="3"/>
  <c r="BQ521" i="3"/>
  <c r="BL521" i="3"/>
  <c r="G517" i="3"/>
  <c r="G515" i="3"/>
  <c r="G513" i="3"/>
  <c r="G511" i="3"/>
  <c r="BQ519" i="3"/>
  <c r="BL519" i="3" s="1"/>
  <c r="BQ517" i="3"/>
  <c r="BQ515" i="3"/>
  <c r="BQ513" i="3"/>
  <c r="BQ511" i="3"/>
  <c r="BL511" i="3" s="1"/>
  <c r="AC509" i="3"/>
  <c r="AC5" i="3" s="1"/>
  <c r="BQ509" i="3"/>
  <c r="BL509" i="3" s="1"/>
  <c r="G505" i="3"/>
  <c r="G503" i="3"/>
  <c r="G501" i="3"/>
  <c r="G499" i="3"/>
  <c r="G497" i="3"/>
  <c r="G495" i="3"/>
  <c r="BQ507" i="3"/>
  <c r="BQ505" i="3"/>
  <c r="BL505" i="3"/>
  <c r="AZ505" i="3" s="1"/>
  <c r="BQ503" i="3"/>
  <c r="BQ501" i="3"/>
  <c r="BQ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H17" i="37"/>
  <c r="U17" i="37" s="1"/>
  <c r="AB27" i="37"/>
  <c r="U32" i="33"/>
  <c r="F39" i="33"/>
  <c r="AA39" i="33" s="1"/>
  <c r="E123" i="33"/>
  <c r="F42" i="33"/>
  <c r="AA42" i="33" s="1"/>
  <c r="H28" i="34"/>
  <c r="AB28" i="34" s="1"/>
  <c r="F22" i="36"/>
  <c r="S22" i="36" s="1"/>
  <c r="F26" i="36"/>
  <c r="S26" i="36" s="1"/>
  <c r="H27" i="34"/>
  <c r="AB27" i="34" s="1"/>
  <c r="H35" i="34"/>
  <c r="U35" i="34" s="1"/>
  <c r="F41" i="34"/>
  <c r="H41" i="34"/>
  <c r="J41" i="34"/>
  <c r="AC41" i="34" s="1"/>
  <c r="F10" i="35"/>
  <c r="S10" i="35" s="1"/>
  <c r="F24" i="35"/>
  <c r="AA24" i="35" s="1"/>
  <c r="H24" i="35"/>
  <c r="AB24" i="35" s="1"/>
  <c r="H23" i="37"/>
  <c r="AB23" i="37"/>
  <c r="J32" i="37"/>
  <c r="AC32" i="37"/>
  <c r="F36" i="37"/>
  <c r="AA36" i="37" s="1"/>
  <c r="F37" i="37"/>
  <c r="AA37" i="37" s="1"/>
  <c r="F31" i="40"/>
  <c r="AA31" i="40"/>
  <c r="H31" i="40"/>
  <c r="U31" i="40"/>
  <c r="F32" i="40"/>
  <c r="S32" i="40" s="1"/>
  <c r="H32" i="40"/>
  <c r="AB32" i="40" s="1"/>
  <c r="J36" i="40"/>
  <c r="W36" i="40"/>
  <c r="H19" i="37"/>
  <c r="AB19" i="37" s="1"/>
  <c r="F123" i="33"/>
  <c r="G123" i="33" s="1"/>
  <c r="H123" i="33" s="1"/>
  <c r="I123" i="33" s="1"/>
  <c r="J123" i="33" s="1"/>
  <c r="K123" i="33" s="1"/>
  <c r="L123" i="33" s="1"/>
  <c r="M123" i="33" s="1"/>
  <c r="H42" i="33"/>
  <c r="AB42" i="33" s="1"/>
  <c r="J43" i="33"/>
  <c r="AC43" i="33"/>
  <c r="S28" i="31"/>
  <c r="S27" i="31"/>
  <c r="S26" i="31"/>
  <c r="U39" i="37"/>
  <c r="U26" i="37"/>
  <c r="AC36" i="34"/>
  <c r="AA13" i="33"/>
  <c r="AC31" i="33"/>
  <c r="AC45" i="33"/>
  <c r="W44" i="33"/>
  <c r="U11" i="33"/>
  <c r="W44" i="21"/>
  <c r="F43" i="33"/>
  <c r="AA43" i="33"/>
  <c r="W15" i="34"/>
  <c r="AC15" i="34"/>
  <c r="W40" i="37"/>
  <c r="G107" i="37"/>
  <c r="H107" i="37" s="1"/>
  <c r="I107" i="37" s="1"/>
  <c r="J107" i="37" s="1"/>
  <c r="K107" i="37" s="1"/>
  <c r="L107" i="37" s="1"/>
  <c r="M107" i="37" s="1"/>
  <c r="H19" i="34"/>
  <c r="AB19" i="34" s="1"/>
  <c r="F36" i="35"/>
  <c r="S36" i="35" s="1"/>
  <c r="J9" i="37"/>
  <c r="W9" i="37" s="1"/>
  <c r="H9" i="37"/>
  <c r="U9" i="37" s="1"/>
  <c r="F9" i="37"/>
  <c r="S9"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c r="AT6" i="3"/>
  <c r="AA25" i="21"/>
  <c r="H19" i="40"/>
  <c r="U19" i="40" s="1"/>
  <c r="F88" i="40"/>
  <c r="G88" i="40" s="1"/>
  <c r="F19" i="40"/>
  <c r="S19" i="40" s="1"/>
  <c r="S14" i="40"/>
  <c r="AC13" i="40"/>
  <c r="AB33" i="40"/>
  <c r="AC43" i="39"/>
  <c r="W43" i="39"/>
  <c r="AB44" i="39"/>
  <c r="U44" i="39"/>
  <c r="G100" i="39"/>
  <c r="H37" i="39"/>
  <c r="AB37" i="39" s="1"/>
  <c r="AC37" i="39"/>
  <c r="W37" i="39"/>
  <c r="H25" i="39"/>
  <c r="AB25" i="39" s="1"/>
  <c r="J25" i="39"/>
  <c r="AC25" i="39" s="1"/>
  <c r="F25" i="39"/>
  <c r="AA25" i="39" s="1"/>
  <c r="F15" i="39"/>
  <c r="AA15" i="39" s="1"/>
  <c r="H15" i="39"/>
  <c r="U15" i="39" s="1"/>
  <c r="J15" i="39"/>
  <c r="W15" i="39" s="1"/>
  <c r="H41" i="39"/>
  <c r="AB41" i="39" s="1"/>
  <c r="J19" i="40"/>
  <c r="AC19" i="40" s="1"/>
  <c r="J50" i="40"/>
  <c r="H103" i="9"/>
  <c r="D8" i="53" s="1"/>
  <c r="B16" i="53"/>
  <c r="B33" i="72" s="1"/>
  <c r="C7" i="37"/>
  <c r="C7" i="34"/>
  <c r="C7" i="36"/>
  <c r="C46" i="36" s="1"/>
  <c r="D46" i="36" s="1"/>
  <c r="E46" i="36" s="1"/>
  <c r="F46" i="36" s="1"/>
  <c r="G46" i="36" s="1"/>
  <c r="H46" i="36" s="1"/>
  <c r="I46" i="36" s="1"/>
  <c r="W35" i="40"/>
  <c r="J11" i="39"/>
  <c r="AC11" i="39" s="1"/>
  <c r="F11" i="39"/>
  <c r="G4" i="4"/>
  <c r="I4" i="4"/>
  <c r="F61" i="43"/>
  <c r="H64" i="43" s="1"/>
  <c r="AZ497" i="3"/>
  <c r="AZ494" i="3"/>
  <c r="G546" i="3"/>
  <c r="G524" i="3"/>
  <c r="G303" i="3"/>
  <c r="BL304" i="3"/>
  <c r="G305" i="3"/>
  <c r="BL306" i="3"/>
  <c r="AZ306" i="3" s="1"/>
  <c r="BA308" i="3"/>
  <c r="AZ308" i="3" s="1"/>
  <c r="BA309" i="3"/>
  <c r="AZ309" i="3" s="1"/>
  <c r="BL309" i="3"/>
  <c r="G310" i="3"/>
  <c r="BA311" i="3"/>
  <c r="G319" i="3"/>
  <c r="BL320" i="3"/>
  <c r="G321" i="3"/>
  <c r="BL322" i="3"/>
  <c r="BA324" i="3"/>
  <c r="BA325" i="3"/>
  <c r="AZ325" i="3" s="1"/>
  <c r="BL325" i="3"/>
  <c r="G326" i="3"/>
  <c r="BA327" i="3"/>
  <c r="G335" i="3"/>
  <c r="BL336" i="3"/>
  <c r="G337" i="3"/>
  <c r="BL338" i="3"/>
  <c r="BA340" i="3"/>
  <c r="BA341" i="3"/>
  <c r="BL341" i="3"/>
  <c r="AZ341" i="3" s="1"/>
  <c r="BA343" i="3"/>
  <c r="BA345" i="3"/>
  <c r="BL355" i="3"/>
  <c r="G356" i="3"/>
  <c r="BL357" i="3"/>
  <c r="BA359" i="3"/>
  <c r="AZ359" i="3"/>
  <c r="BA360" i="3"/>
  <c r="AZ360" i="3" s="1"/>
  <c r="BL360" i="3"/>
  <c r="G361" i="3"/>
  <c r="BA362" i="3"/>
  <c r="G370" i="3"/>
  <c r="BL371" i="3"/>
  <c r="G372" i="3"/>
  <c r="BL373" i="3"/>
  <c r="BA375" i="3"/>
  <c r="AZ375" i="3" s="1"/>
  <c r="BA376" i="3"/>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G125" i="3"/>
  <c r="BA127" i="3"/>
  <c r="AZ127" i="3"/>
  <c r="BL128" i="3"/>
  <c r="G129" i="3"/>
  <c r="BA131" i="3"/>
  <c r="BL132" i="3"/>
  <c r="AZ132" i="3"/>
  <c r="G133" i="3"/>
  <c r="BA135" i="3"/>
  <c r="AZ135" i="3" s="1"/>
  <c r="BL136" i="3"/>
  <c r="G137" i="3"/>
  <c r="BA139" i="3"/>
  <c r="AZ139" i="3" s="1"/>
  <c r="BL140" i="3"/>
  <c r="G141" i="3"/>
  <c r="BA143" i="3"/>
  <c r="BL144" i="3"/>
  <c r="G145" i="3"/>
  <c r="BA147" i="3"/>
  <c r="BL148" i="3"/>
  <c r="AZ148" i="3"/>
  <c r="G149" i="3"/>
  <c r="BA151" i="3"/>
  <c r="BL152" i="3"/>
  <c r="G153" i="3"/>
  <c r="BA155" i="3"/>
  <c r="BL156" i="3"/>
  <c r="AZ156" i="3" s="1"/>
  <c r="G157" i="3"/>
  <c r="BA159" i="3"/>
  <c r="AZ159" i="3" s="1"/>
  <c r="BL160" i="3"/>
  <c r="G161" i="3"/>
  <c r="BA163" i="3"/>
  <c r="AZ163" i="3"/>
  <c r="BL164" i="3"/>
  <c r="G165" i="3"/>
  <c r="BA167" i="3"/>
  <c r="BL168" i="3"/>
  <c r="G169" i="3"/>
  <c r="BA171" i="3"/>
  <c r="BL172" i="3"/>
  <c r="G173" i="3"/>
  <c r="BA175" i="3"/>
  <c r="BL176" i="3"/>
  <c r="G177" i="3"/>
  <c r="BA179" i="3"/>
  <c r="BL180" i="3"/>
  <c r="AZ180" i="3"/>
  <c r="G181" i="3"/>
  <c r="BA183" i="3"/>
  <c r="BL184" i="3"/>
  <c r="G185" i="3"/>
  <c r="BA187" i="3"/>
  <c r="BL188" i="3"/>
  <c r="AZ188" i="3" s="1"/>
  <c r="G189" i="3"/>
  <c r="BA191" i="3"/>
  <c r="BL192" i="3"/>
  <c r="AZ192" i="3" s="1"/>
  <c r="G193" i="3"/>
  <c r="BA195" i="3"/>
  <c r="AZ195" i="3" s="1"/>
  <c r="BL196" i="3"/>
  <c r="G197" i="3"/>
  <c r="BA199" i="3"/>
  <c r="BL200" i="3"/>
  <c r="G201" i="3"/>
  <c r="BA203" i="3"/>
  <c r="BL204" i="3"/>
  <c r="AZ47" i="3"/>
  <c r="AZ120" i="3"/>
  <c r="G534" i="3"/>
  <c r="G530" i="3"/>
  <c r="G522" i="3"/>
  <c r="G516" i="3"/>
  <c r="G512" i="3"/>
  <c r="G506" i="3"/>
  <c r="G498" i="3"/>
  <c r="G494" i="3"/>
  <c r="G15" i="3"/>
  <c r="H5" i="80" s="1"/>
  <c r="K5" i="80" s="1"/>
  <c r="BA304" i="3"/>
  <c r="AZ304" i="3" s="1"/>
  <c r="BA305" i="3"/>
  <c r="BL305" i="3"/>
  <c r="G306" i="3"/>
  <c r="G309" i="3"/>
  <c r="BL310" i="3"/>
  <c r="BA312" i="3"/>
  <c r="BA313" i="3"/>
  <c r="BL313" i="3"/>
  <c r="G314" i="3"/>
  <c r="G317" i="3"/>
  <c r="BL318" i="3"/>
  <c r="BA320" i="3"/>
  <c r="AZ320" i="3"/>
  <c r="BA321" i="3"/>
  <c r="BL321" i="3"/>
  <c r="G322" i="3"/>
  <c r="G325" i="3"/>
  <c r="BL326" i="3"/>
  <c r="BA328" i="3"/>
  <c r="BA329" i="3"/>
  <c r="BL329" i="3"/>
  <c r="G330" i="3"/>
  <c r="G333" i="3"/>
  <c r="BL334" i="3"/>
  <c r="BA336" i="3"/>
  <c r="BA337" i="3"/>
  <c r="AZ337" i="3" s="1"/>
  <c r="BL337" i="3"/>
  <c r="G338" i="3"/>
  <c r="G341" i="3"/>
  <c r="BA342" i="3"/>
  <c r="BL342" i="3"/>
  <c r="AZ342" i="3"/>
  <c r="BA344" i="3"/>
  <c r="BL344" i="3"/>
  <c r="AZ344" i="3" s="1"/>
  <c r="BA346" i="3"/>
  <c r="BA347" i="3"/>
  <c r="BL347" i="3"/>
  <c r="G350" i="3"/>
  <c r="BA351" i="3"/>
  <c r="BL351" i="3"/>
  <c r="G352" i="3"/>
  <c r="G354" i="3"/>
  <c r="BA355" i="3"/>
  <c r="AZ355" i="3"/>
  <c r="BA356" i="3"/>
  <c r="BL356" i="3"/>
  <c r="AZ356" i="3" s="1"/>
  <c r="G357" i="3"/>
  <c r="G360" i="3"/>
  <c r="BL361" i="3"/>
  <c r="BA363" i="3"/>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500" i="3"/>
  <c r="BA16" i="3"/>
  <c r="AZ16" i="3" s="1"/>
  <c r="BL303" i="3"/>
  <c r="G304" i="3"/>
  <c r="BA306" i="3"/>
  <c r="BL307" i="3"/>
  <c r="G308" i="3"/>
  <c r="BA310" i="3"/>
  <c r="AZ310" i="3"/>
  <c r="BL311" i="3"/>
  <c r="G312" i="3"/>
  <c r="BA314" i="3"/>
  <c r="BL315" i="3"/>
  <c r="G316" i="3"/>
  <c r="BA318" i="3"/>
  <c r="AZ318" i="3" s="1"/>
  <c r="BL319" i="3"/>
  <c r="AZ319" i="3" s="1"/>
  <c r="G320" i="3"/>
  <c r="BA322" i="3"/>
  <c r="AZ322" i="3" s="1"/>
  <c r="BL323" i="3"/>
  <c r="G324" i="3"/>
  <c r="BA326" i="3"/>
  <c r="AZ326" i="3"/>
  <c r="BL327" i="3"/>
  <c r="AZ327" i="3" s="1"/>
  <c r="G328" i="3"/>
  <c r="BA330" i="3"/>
  <c r="BL331" i="3"/>
  <c r="G332" i="3"/>
  <c r="BA334" i="3"/>
  <c r="BL335" i="3"/>
  <c r="G336" i="3"/>
  <c r="BA338" i="3"/>
  <c r="BL339" i="3"/>
  <c r="G340" i="3"/>
  <c r="BL343" i="3"/>
  <c r="G344" i="3"/>
  <c r="G348" i="3"/>
  <c r="G355" i="3"/>
  <c r="AZ214" i="3"/>
  <c r="G342" i="3"/>
  <c r="BL345" i="3"/>
  <c r="G346" i="3"/>
  <c r="BL349" i="3"/>
  <c r="BL352" i="3"/>
  <c r="G353" i="3"/>
  <c r="BA357" i="3"/>
  <c r="BL358" i="3"/>
  <c r="G359" i="3"/>
  <c r="BA361" i="3"/>
  <c r="AZ361" i="3" s="1"/>
  <c r="BL362" i="3"/>
  <c r="G363" i="3"/>
  <c r="BA365" i="3"/>
  <c r="BL366" i="3"/>
  <c r="AZ366" i="3" s="1"/>
  <c r="G367" i="3"/>
  <c r="BA369" i="3"/>
  <c r="AZ369" i="3"/>
  <c r="BL370" i="3"/>
  <c r="G371" i="3"/>
  <c r="BA373" i="3"/>
  <c r="AZ373" i="3"/>
  <c r="BL374" i="3"/>
  <c r="G375" i="3"/>
  <c r="BA377" i="3"/>
  <c r="AZ377" i="3"/>
  <c r="AZ233" i="3"/>
  <c r="AZ269" i="3"/>
  <c r="BA379" i="3"/>
  <c r="BL380" i="3"/>
  <c r="G381" i="3"/>
  <c r="BA383" i="3"/>
  <c r="AZ383" i="3" s="1"/>
  <c r="BL384" i="3"/>
  <c r="G385" i="3"/>
  <c r="BA387" i="3"/>
  <c r="AZ387" i="3" s="1"/>
  <c r="BL388" i="3"/>
  <c r="G389" i="3"/>
  <c r="BA391" i="3"/>
  <c r="AZ391" i="3" s="1"/>
  <c r="BL392" i="3"/>
  <c r="AZ392" i="3" s="1"/>
  <c r="G393" i="3"/>
  <c r="AZ291" i="3"/>
  <c r="BM5" i="3"/>
  <c r="BJ5" i="3"/>
  <c r="BD5" i="3"/>
  <c r="G548" i="3"/>
  <c r="G538" i="3"/>
  <c r="G520" i="3"/>
  <c r="G502" i="3"/>
  <c r="BS5" i="3"/>
  <c r="BK5" i="3"/>
  <c r="BG5" i="3"/>
  <c r="BE5" i="3"/>
  <c r="BA17" i="3"/>
  <c r="AZ499" i="3"/>
  <c r="G509" i="3"/>
  <c r="BL493" i="3"/>
  <c r="U36" i="40"/>
  <c r="F83" i="43"/>
  <c r="H85" i="43" s="1"/>
  <c r="F50" i="43"/>
  <c r="H54" i="43" s="1"/>
  <c r="F72" i="43"/>
  <c r="H75" i="43" s="1"/>
  <c r="AC35" i="21"/>
  <c r="G10" i="1"/>
  <c r="AZ501" i="3"/>
  <c r="W44" i="34"/>
  <c r="AC44" i="34"/>
  <c r="U13" i="37"/>
  <c r="U12" i="40"/>
  <c r="AA12" i="40"/>
  <c r="J37" i="33"/>
  <c r="W37" i="33" s="1"/>
  <c r="AC17" i="34"/>
  <c r="J34" i="33"/>
  <c r="W34" i="33" s="1"/>
  <c r="F33" i="34"/>
  <c r="AC12" i="36"/>
  <c r="H20" i="36"/>
  <c r="U20" i="36" s="1"/>
  <c r="J20" i="36"/>
  <c r="W20" i="36" s="1"/>
  <c r="J27" i="36"/>
  <c r="W27" i="36" s="1"/>
  <c r="AB25" i="37"/>
  <c r="AC33" i="40"/>
  <c r="F111" i="40"/>
  <c r="G111" i="40" s="1"/>
  <c r="H111" i="40" s="1"/>
  <c r="I111" i="40" s="1"/>
  <c r="J111" i="40" s="1"/>
  <c r="K111" i="40" s="1"/>
  <c r="L111" i="40" s="1"/>
  <c r="M111" i="40" s="1"/>
  <c r="H35" i="40"/>
  <c r="AC29" i="35"/>
  <c r="W29" i="35"/>
  <c r="H35" i="37"/>
  <c r="U35" i="37" s="1"/>
  <c r="H20" i="35"/>
  <c r="U20" i="35" s="1"/>
  <c r="F20" i="35"/>
  <c r="S20" i="35" s="1"/>
  <c r="U29" i="36"/>
  <c r="H32" i="37"/>
  <c r="AB32" i="37" s="1"/>
  <c r="F96" i="37"/>
  <c r="H27" i="40"/>
  <c r="J27" i="40"/>
  <c r="AC27" i="40" s="1"/>
  <c r="F27" i="40"/>
  <c r="S27" i="40"/>
  <c r="J30" i="40"/>
  <c r="AC30" i="40"/>
  <c r="F30" i="40"/>
  <c r="AA30" i="40" s="1"/>
  <c r="S11" i="40"/>
  <c r="E98" i="40"/>
  <c r="F98" i="40" s="1"/>
  <c r="G98" i="40" s="1"/>
  <c r="H98" i="40" s="1"/>
  <c r="I98" i="40" s="1"/>
  <c r="J98" i="40" s="1"/>
  <c r="K98" i="40" s="1"/>
  <c r="L98" i="40" s="1"/>
  <c r="M98" i="40" s="1"/>
  <c r="F10" i="33"/>
  <c r="S10" i="33" s="1"/>
  <c r="F34" i="33"/>
  <c r="S34" i="33" s="1"/>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35" i="3"/>
  <c r="AZ133" i="3"/>
  <c r="AZ82" i="3"/>
  <c r="F23" i="39"/>
  <c r="AA23" i="39" s="1"/>
  <c r="H27" i="36"/>
  <c r="U27" i="36" s="1"/>
  <c r="F27" i="36"/>
  <c r="AA27" i="36" s="1"/>
  <c r="H33" i="34"/>
  <c r="U33" i="34"/>
  <c r="F32" i="37"/>
  <c r="G96" i="37"/>
  <c r="H96" i="37" s="1"/>
  <c r="I96" i="37" s="1"/>
  <c r="J96" i="37" s="1"/>
  <c r="K96" i="37" s="1"/>
  <c r="L96" i="37" s="1"/>
  <c r="M96" i="37" s="1"/>
  <c r="F20" i="36"/>
  <c r="AA20" i="36" s="1"/>
  <c r="J33" i="34"/>
  <c r="AC33" i="34" s="1"/>
  <c r="H23" i="39"/>
  <c r="U23" i="39" s="1"/>
  <c r="D48" i="9"/>
  <c r="M52" i="9" s="1"/>
  <c r="K9" i="1"/>
  <c r="M9" i="1" s="1"/>
  <c r="K6" i="1"/>
  <c r="AP6" i="1" s="1"/>
  <c r="AC26" i="33"/>
  <c r="W26" i="33"/>
  <c r="W27" i="34"/>
  <c r="AC27" i="34"/>
  <c r="AB34" i="36"/>
  <c r="AC12" i="39"/>
  <c r="W12" i="39"/>
  <c r="AZ465" i="3"/>
  <c r="W12" i="33"/>
  <c r="AC12" i="33"/>
  <c r="AA32" i="36"/>
  <c r="S32" i="36"/>
  <c r="BL14" i="3"/>
  <c r="U30" i="33"/>
  <c r="AC13" i="34"/>
  <c r="AA47" i="34"/>
  <c r="W28" i="37"/>
  <c r="F12" i="33"/>
  <c r="H12" i="39"/>
  <c r="U12" i="39" s="1"/>
  <c r="F39" i="40"/>
  <c r="AZ286" i="3"/>
  <c r="AZ157" i="3"/>
  <c r="B12" i="1"/>
  <c r="E12" i="1" s="1"/>
  <c r="B10" i="1"/>
  <c r="E10" i="1" s="1"/>
  <c r="K12" i="1"/>
  <c r="M12" i="1" s="1"/>
  <c r="S13" i="1"/>
  <c r="AR13" i="1" s="1"/>
  <c r="R13" i="1"/>
  <c r="J51" i="67"/>
  <c r="C42" i="1"/>
  <c r="C24" i="12" s="1"/>
  <c r="AC34" i="33"/>
  <c r="AA34" i="33"/>
  <c r="AB37" i="40"/>
  <c r="S35" i="40"/>
  <c r="AC36" i="40"/>
  <c r="W38" i="40"/>
  <c r="AA32" i="40"/>
  <c r="S17" i="40"/>
  <c r="S23" i="40"/>
  <c r="AC15" i="40"/>
  <c r="S30" i="40"/>
  <c r="AA19" i="40"/>
  <c r="S28" i="40"/>
  <c r="AA27" i="40"/>
  <c r="U21" i="40"/>
  <c r="AB19" i="40"/>
  <c r="S43" i="39"/>
  <c r="U35" i="39"/>
  <c r="F32" i="39"/>
  <c r="S32" i="39" s="1"/>
  <c r="F106" i="39"/>
  <c r="G106" i="39" s="1"/>
  <c r="H106" i="39" s="1"/>
  <c r="I106" i="39" s="1"/>
  <c r="J106" i="39" s="1"/>
  <c r="K106" i="39" s="1"/>
  <c r="L106" i="39" s="1"/>
  <c r="M106" i="39" s="1"/>
  <c r="J21" i="39"/>
  <c r="W21" i="39" s="1"/>
  <c r="F21" i="39"/>
  <c r="AA21" i="39" s="1"/>
  <c r="H21" i="39"/>
  <c r="AB21" i="39" s="1"/>
  <c r="S9" i="39"/>
  <c r="S23" i="36"/>
  <c r="S33" i="36"/>
  <c r="AA22" i="36"/>
  <c r="U22" i="36"/>
  <c r="S16" i="36"/>
  <c r="AA25" i="36"/>
  <c r="S24" i="36"/>
  <c r="W24" i="35"/>
  <c r="AB13" i="35"/>
  <c r="U29" i="35"/>
  <c r="AB27" i="35"/>
  <c r="U32" i="35"/>
  <c r="AA33" i="35"/>
  <c r="AC30" i="35"/>
  <c r="AA36" i="35"/>
  <c r="S28" i="35"/>
  <c r="U22" i="35"/>
  <c r="S22" i="35"/>
  <c r="AA11" i="35"/>
  <c r="AC12" i="35"/>
  <c r="W13" i="35"/>
  <c r="F9" i="35"/>
  <c r="S9" i="35" s="1"/>
  <c r="H9" i="35"/>
  <c r="U9" i="35" s="1"/>
  <c r="AB40" i="37"/>
  <c r="S25" i="37"/>
  <c r="W27" i="37"/>
  <c r="AC29" i="37"/>
  <c r="U29" i="37"/>
  <c r="AB31" i="37"/>
  <c r="W30" i="37"/>
  <c r="S36" i="37"/>
  <c r="AA38" i="37"/>
  <c r="U32" i="37"/>
  <c r="W38" i="37"/>
  <c r="AC35" i="37"/>
  <c r="W39" i="37"/>
  <c r="S30" i="37"/>
  <c r="S37" i="37"/>
  <c r="AC15" i="37"/>
  <c r="J17" i="37"/>
  <c r="AC17" i="37" s="1"/>
  <c r="W17" i="37"/>
  <c r="G73" i="37"/>
  <c r="F17" i="37"/>
  <c r="AA17" i="37" s="1"/>
  <c r="AB17" i="37"/>
  <c r="F75" i="37"/>
  <c r="F19" i="37"/>
  <c r="S19" i="37" s="1"/>
  <c r="F79" i="37"/>
  <c r="F23" i="37"/>
  <c r="S23" i="37" s="1"/>
  <c r="U23" i="37"/>
  <c r="U15" i="37"/>
  <c r="AC13" i="37"/>
  <c r="AA13" i="37"/>
  <c r="H10" i="37"/>
  <c r="AB10" i="37" s="1"/>
  <c r="F63" i="37"/>
  <c r="F11" i="37"/>
  <c r="S11" i="37" s="1"/>
  <c r="W25" i="34"/>
  <c r="AB8" i="34"/>
  <c r="U43" i="34"/>
  <c r="W41" i="34"/>
  <c r="AC42" i="34"/>
  <c r="AB35" i="34"/>
  <c r="U39" i="34"/>
  <c r="S43" i="34"/>
  <c r="AA45" i="34"/>
  <c r="U28" i="34"/>
  <c r="S17" i="34"/>
  <c r="AA29" i="34"/>
  <c r="U27" i="34"/>
  <c r="S23" i="34"/>
  <c r="S13" i="34"/>
  <c r="H10" i="34"/>
  <c r="AB10" i="34" s="1"/>
  <c r="F11" i="34"/>
  <c r="S11" i="34" s="1"/>
  <c r="F70" i="34"/>
  <c r="G70" i="34" s="1"/>
  <c r="H70" i="34" s="1"/>
  <c r="I70" i="34" s="1"/>
  <c r="J70" i="34" s="1"/>
  <c r="K70" i="34" s="1"/>
  <c r="L70" i="34" s="1"/>
  <c r="M70" i="34" s="1"/>
  <c r="W42" i="33"/>
  <c r="AA35" i="33"/>
  <c r="S27"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U27" i="33" s="1"/>
  <c r="F87" i="33"/>
  <c r="H25" i="33"/>
  <c r="F25" i="33"/>
  <c r="S25" i="33" s="1"/>
  <c r="J23" i="33"/>
  <c r="AC23" i="33" s="1"/>
  <c r="F85" i="33"/>
  <c r="H23" i="33"/>
  <c r="F81" i="33"/>
  <c r="F19" i="33"/>
  <c r="S19" i="33" s="1"/>
  <c r="W19" i="33"/>
  <c r="J17" i="33"/>
  <c r="F79" i="33"/>
  <c r="G79" i="33" s="1"/>
  <c r="S15" i="33"/>
  <c r="W15" i="33"/>
  <c r="U9" i="33"/>
  <c r="J10" i="33"/>
  <c r="W10" i="33" s="1"/>
  <c r="H10" i="33"/>
  <c r="U10" i="33" s="1"/>
  <c r="AC11" i="33"/>
  <c r="AB14" i="33"/>
  <c r="W41" i="21"/>
  <c r="AB39" i="21"/>
  <c r="S39" i="21"/>
  <c r="AC40" i="21"/>
  <c r="J15" i="21"/>
  <c r="W15" i="21" s="1"/>
  <c r="F77" i="21"/>
  <c r="G77" i="21"/>
  <c r="F23" i="21"/>
  <c r="S23" i="21" s="1"/>
  <c r="E85" i="21"/>
  <c r="AA14" i="21"/>
  <c r="D120" i="9"/>
  <c r="D121" i="9" s="1"/>
  <c r="D7" i="52" s="1"/>
  <c r="F34" i="15"/>
  <c r="F62" i="15" s="1"/>
  <c r="BL17" i="3"/>
  <c r="AZ17" i="3" s="1"/>
  <c r="J56" i="9"/>
  <c r="J57" i="9" s="1"/>
  <c r="J59" i="9" s="1"/>
  <c r="J61" i="9" s="1"/>
  <c r="A24" i="51"/>
  <c r="B18" i="72" s="1"/>
  <c r="U29" i="34"/>
  <c r="E32" i="6"/>
  <c r="E19" i="69"/>
  <c r="E19" i="68"/>
  <c r="E19" i="11"/>
  <c r="E1" i="73"/>
  <c r="G22" i="69"/>
  <c r="G22" i="68"/>
  <c r="G26" i="12"/>
  <c r="G22" i="11"/>
  <c r="C6" i="43"/>
  <c r="C7" i="39"/>
  <c r="C67" i="39" s="1"/>
  <c r="C7" i="35"/>
  <c r="C7" i="33"/>
  <c r="C7" i="21"/>
  <c r="C7" i="40"/>
  <c r="C63" i="40" s="1"/>
  <c r="M47" i="9"/>
  <c r="G23" i="43"/>
  <c r="C23" i="43" s="1"/>
  <c r="C52" i="37"/>
  <c r="D52" i="37" s="1"/>
  <c r="A4" i="51"/>
  <c r="B6" i="72" s="1"/>
  <c r="C48" i="35"/>
  <c r="D48" i="35" s="1"/>
  <c r="L20" i="6"/>
  <c r="B6" i="1"/>
  <c r="E6" i="1" s="1"/>
  <c r="K11" i="1"/>
  <c r="M11" i="1" s="1"/>
  <c r="O11" i="1" s="1"/>
  <c r="B9" i="1"/>
  <c r="E9" i="1" s="1"/>
  <c r="G1" i="67"/>
  <c r="W23" i="40"/>
  <c r="U32" i="40"/>
  <c r="AB31" i="40"/>
  <c r="S37" i="40"/>
  <c r="AB28" i="40"/>
  <c r="W28" i="40"/>
  <c r="W34" i="40"/>
  <c r="W19" i="40"/>
  <c r="S36" i="40"/>
  <c r="W37" i="40"/>
  <c r="AC14" i="40"/>
  <c r="S13" i="40"/>
  <c r="S33" i="40"/>
  <c r="AA15" i="40"/>
  <c r="U11" i="40"/>
  <c r="S31" i="40"/>
  <c r="AB13" i="40"/>
  <c r="U15" i="40"/>
  <c r="AB17" i="40"/>
  <c r="U8" i="40"/>
  <c r="S8" i="40"/>
  <c r="AC41" i="39"/>
  <c r="W25" i="39"/>
  <c r="U13" i="39"/>
  <c r="S13" i="39"/>
  <c r="AB43" i="39"/>
  <c r="AB11" i="39"/>
  <c r="U11" i="39"/>
  <c r="AA45" i="39"/>
  <c r="W34" i="39"/>
  <c r="U38" i="39"/>
  <c r="S8" i="39"/>
  <c r="AC25" i="36"/>
  <c r="U32" i="36"/>
  <c r="U25"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3" i="21"/>
  <c r="AA33" i="21" s="1"/>
  <c r="J33" i="21"/>
  <c r="AC33" i="21" s="1"/>
  <c r="H33" i="21"/>
  <c r="AB33" i="21" s="1"/>
  <c r="AA26" i="21"/>
  <c r="AB14" i="21"/>
  <c r="AB46" i="21"/>
  <c r="U40" i="21"/>
  <c r="AB31" i="21"/>
  <c r="U31" i="21"/>
  <c r="AC15" i="21"/>
  <c r="U13" i="21"/>
  <c r="AB13" i="21"/>
  <c r="H15" i="21"/>
  <c r="U15" i="21" s="1"/>
  <c r="J17" i="21"/>
  <c r="W17" i="21" s="1"/>
  <c r="W39" i="21"/>
  <c r="AC14" i="21"/>
  <c r="W30" i="21"/>
  <c r="H45" i="21"/>
  <c r="U45" i="21" s="1"/>
  <c r="F29" i="21"/>
  <c r="AA29" i="21" s="1"/>
  <c r="F13" i="21"/>
  <c r="AA13" i="21" s="1"/>
  <c r="H32" i="21"/>
  <c r="U32" i="21" s="1"/>
  <c r="H9" i="21"/>
  <c r="U9" i="21" s="1"/>
  <c r="J9" i="21"/>
  <c r="W9" i="21" s="1"/>
  <c r="J32" i="21"/>
  <c r="W32" i="21" s="1"/>
  <c r="F32" i="21"/>
  <c r="AA32" i="21" s="1"/>
  <c r="AA31" i="21"/>
  <c r="W29" i="21"/>
  <c r="S9" i="21"/>
  <c r="AA9" i="21"/>
  <c r="K141" i="21"/>
  <c r="K144" i="21"/>
  <c r="K143" i="21"/>
  <c r="U27" i="21"/>
  <c r="AB25" i="21"/>
  <c r="AB44" i="21"/>
  <c r="AA30" i="21"/>
  <c r="AC45" i="21"/>
  <c r="F10" i="21"/>
  <c r="AA10" i="21" s="1"/>
  <c r="K145" i="21"/>
  <c r="W25" i="21"/>
  <c r="W31" i="21"/>
  <c r="S27" i="21"/>
  <c r="AC27" i="21"/>
  <c r="AC26" i="21"/>
  <c r="AB29" i="21"/>
  <c r="S28" i="21"/>
  <c r="W30" i="40"/>
  <c r="C15" i="40"/>
  <c r="C17" i="40"/>
  <c r="C23" i="40"/>
  <c r="C21" i="40"/>
  <c r="U30" i="40"/>
  <c r="B56" i="43"/>
  <c r="B67" i="43"/>
  <c r="B54" i="43"/>
  <c r="B58" i="43"/>
  <c r="B62" i="43"/>
  <c r="B65" i="43"/>
  <c r="B69" i="43"/>
  <c r="D23" i="15"/>
  <c r="D22" i="15"/>
  <c r="E4" i="4"/>
  <c r="B5" i="62" s="1"/>
  <c r="B73" i="72" s="1"/>
  <c r="C4" i="4"/>
  <c r="AA39" i="40"/>
  <c r="S39" i="40"/>
  <c r="S12" i="33"/>
  <c r="AA12" i="33"/>
  <c r="J32" i="39"/>
  <c r="W32" i="39" s="1"/>
  <c r="H32" i="39"/>
  <c r="AB32" i="39" s="1"/>
  <c r="AA32" i="39"/>
  <c r="S17" i="37"/>
  <c r="J19" i="37"/>
  <c r="W19" i="37" s="1"/>
  <c r="G75" i="37"/>
  <c r="AA19" i="37"/>
  <c r="AA23" i="37"/>
  <c r="J23" i="37"/>
  <c r="W23" i="37" s="1"/>
  <c r="G79" i="37"/>
  <c r="J10" i="37"/>
  <c r="W10" i="37" s="1"/>
  <c r="G63" i="37"/>
  <c r="H63" i="37" s="1"/>
  <c r="I63" i="37" s="1"/>
  <c r="H11" i="37"/>
  <c r="AB11" i="37"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B25" i="33"/>
  <c r="AA25" i="33"/>
  <c r="G87" i="33"/>
  <c r="H87" i="33" s="1"/>
  <c r="I87" i="33" s="1"/>
  <c r="J87" i="33" s="1"/>
  <c r="K87" i="33" s="1"/>
  <c r="L87" i="33" s="1"/>
  <c r="M87" i="33" s="1"/>
  <c r="J25" i="33"/>
  <c r="W25" i="33" s="1"/>
  <c r="AB23" i="33"/>
  <c r="U23" i="33"/>
  <c r="F23" i="33"/>
  <c r="G85" i="33"/>
  <c r="H19" i="33"/>
  <c r="U19" i="33" s="1"/>
  <c r="G81" i="33"/>
  <c r="H17" i="33"/>
  <c r="U17" i="33" s="1"/>
  <c r="F17" i="33"/>
  <c r="S17" i="33" s="1"/>
  <c r="W17" i="33"/>
  <c r="AC17" i="33"/>
  <c r="J23" i="21"/>
  <c r="AC23" i="21" s="1"/>
  <c r="F85" i="21"/>
  <c r="G85" i="21" s="1"/>
  <c r="H23" i="21"/>
  <c r="U23" i="21" s="1"/>
  <c r="D6" i="52"/>
  <c r="AP7" i="1"/>
  <c r="AB45" i="21"/>
  <c r="J63" i="37"/>
  <c r="K63" i="37" s="1"/>
  <c r="L63" i="37" s="1"/>
  <c r="M63" i="37" s="1"/>
  <c r="J11" i="37"/>
  <c r="AC11" i="37" s="1"/>
  <c r="J11" i="34"/>
  <c r="W11" i="34" s="1"/>
  <c r="AB36" i="33"/>
  <c r="H109" i="9"/>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3" i="73"/>
  <c r="F13" i="67"/>
  <c r="M22" i="67"/>
  <c r="E12" i="76"/>
  <c r="B11" i="76"/>
  <c r="B7" i="76"/>
  <c r="M29" i="67"/>
  <c r="B13" i="76"/>
  <c r="J15" i="67"/>
  <c r="F16" i="67"/>
  <c r="M9" i="67"/>
  <c r="F8" i="67"/>
  <c r="F38" i="67"/>
  <c r="E10" i="76"/>
  <c r="F7" i="67"/>
  <c r="M28" i="67"/>
  <c r="F6" i="73"/>
  <c r="F42" i="67"/>
  <c r="F43" i="67"/>
  <c r="C76" i="67"/>
  <c r="F20" i="31"/>
  <c r="M8" i="67"/>
  <c r="F6" i="67"/>
  <c r="F4" i="73"/>
  <c r="M26" i="67"/>
  <c r="B8" i="76"/>
  <c r="L47" i="67"/>
  <c r="B12" i="76"/>
  <c r="B10" i="76"/>
  <c r="M6" i="67"/>
  <c r="AO13" i="1"/>
  <c r="E7" i="76"/>
  <c r="D34" i="9"/>
  <c r="M24" i="67"/>
  <c r="E13" i="76"/>
  <c r="E2" i="69"/>
  <c r="B9" i="76"/>
  <c r="E11" i="76"/>
  <c r="F7" i="73"/>
  <c r="E2" i="68"/>
  <c r="F9" i="67"/>
  <c r="F37" i="67"/>
  <c r="F5" i="73"/>
  <c r="F26" i="67"/>
  <c r="E8" i="76"/>
  <c r="E9" i="76"/>
  <c r="F36" i="67"/>
  <c r="F40" i="67"/>
  <c r="M23" i="67"/>
  <c r="D35" i="9"/>
  <c r="L48" i="67"/>
  <c r="U28" i="35" l="1"/>
  <c r="AA20" i="35"/>
  <c r="AB20" i="35"/>
  <c r="AC20" i="35"/>
  <c r="AC18" i="35"/>
  <c r="W16" i="35"/>
  <c r="U14" i="35"/>
  <c r="AC14" i="35"/>
  <c r="S14" i="35"/>
  <c r="H23" i="35"/>
  <c r="W23" i="35"/>
  <c r="F23" i="35"/>
  <c r="S32" i="35"/>
  <c r="W28" i="35"/>
  <c r="W9" i="35"/>
  <c r="F62" i="36"/>
  <c r="G62" i="36" s="1"/>
  <c r="J14" i="36"/>
  <c r="H14" i="36"/>
  <c r="U14" i="36" s="1"/>
  <c r="F14" i="36"/>
  <c r="AA14" i="36" s="1"/>
  <c r="W29" i="36"/>
  <c r="AB28" i="36"/>
  <c r="U26" i="36"/>
  <c r="AC26" i="36"/>
  <c r="AA26" i="36"/>
  <c r="AC20" i="36"/>
  <c r="S20" i="36"/>
  <c r="S18" i="36"/>
  <c r="AA13" i="36"/>
  <c r="AA12" i="36"/>
  <c r="U13" i="36"/>
  <c r="W43" i="21"/>
  <c r="H113" i="21"/>
  <c r="H37" i="21"/>
  <c r="U37" i="21" s="1"/>
  <c r="F37" i="21"/>
  <c r="J37" i="21"/>
  <c r="W37" i="21" s="1"/>
  <c r="F19" i="21"/>
  <c r="AA19" i="21" s="1"/>
  <c r="H19" i="21"/>
  <c r="J19" i="21"/>
  <c r="W19" i="21" s="1"/>
  <c r="AB15" i="21"/>
  <c r="AA15" i="21"/>
  <c r="AA43" i="21"/>
  <c r="U43" i="21"/>
  <c r="AC38" i="21"/>
  <c r="S38" i="21"/>
  <c r="S35" i="21"/>
  <c r="AC34" i="21"/>
  <c r="S42" i="21"/>
  <c r="W42" i="21"/>
  <c r="AB38" i="21"/>
  <c r="AA36" i="21"/>
  <c r="AB36" i="21"/>
  <c r="W36" i="21"/>
  <c r="U35" i="21"/>
  <c r="U34" i="21"/>
  <c r="AB32" i="21"/>
  <c r="S32" i="21"/>
  <c r="AC21" i="21"/>
  <c r="U17" i="21"/>
  <c r="S17" i="21"/>
  <c r="S19" i="21"/>
  <c r="AC17" i="21"/>
  <c r="AB9" i="21"/>
  <c r="W13" i="21"/>
  <c r="AC31" i="39"/>
  <c r="AC32" i="39"/>
  <c r="U31" i="39"/>
  <c r="S37" i="39"/>
  <c r="U37" i="39"/>
  <c r="S27" i="39"/>
  <c r="AA12" i="39"/>
  <c r="F7" i="1"/>
  <c r="G7" i="1" s="1"/>
  <c r="J1" i="73"/>
  <c r="F90" i="39"/>
  <c r="G90" i="39" s="1"/>
  <c r="J17" i="39"/>
  <c r="W17" i="39" s="1"/>
  <c r="H17" i="39"/>
  <c r="AB17" i="39" s="1"/>
  <c r="F17" i="39"/>
  <c r="AA17" i="39" s="1"/>
  <c r="S42" i="39"/>
  <c r="AB27" i="39"/>
  <c r="U25" i="39"/>
  <c r="S19" i="39"/>
  <c r="AC17" i="39"/>
  <c r="S15" i="39"/>
  <c r="W29" i="39"/>
  <c r="W23" i="39"/>
  <c r="W40" i="39"/>
  <c r="W19" i="39"/>
  <c r="W11" i="39"/>
  <c r="W8" i="39"/>
  <c r="W9" i="39"/>
  <c r="U9" i="39"/>
  <c r="AB45" i="39"/>
  <c r="AB39" i="39"/>
  <c r="U41" i="39"/>
  <c r="AB12" i="39"/>
  <c r="AB34" i="39"/>
  <c r="AB8" i="39"/>
  <c r="U17" i="39"/>
  <c r="U42" i="39"/>
  <c r="U21" i="39"/>
  <c r="U14" i="39"/>
  <c r="U32" i="39"/>
  <c r="S21" i="39"/>
  <c r="AA39" i="39"/>
  <c r="AA36" i="39"/>
  <c r="AA35" i="39"/>
  <c r="S23" i="39"/>
  <c r="S31" i="39"/>
  <c r="AA14" i="39"/>
  <c r="AA41" i="39"/>
  <c r="B79" i="43"/>
  <c r="B51" i="43"/>
  <c r="C19" i="39"/>
  <c r="M20" i="67"/>
  <c r="F34" i="67"/>
  <c r="F62" i="67" s="1"/>
  <c r="D93" i="9"/>
  <c r="B41" i="1"/>
  <c r="F52" i="9" s="1"/>
  <c r="C40" i="69"/>
  <c r="C21" i="68"/>
  <c r="C5" i="68"/>
  <c r="G1" i="69"/>
  <c r="G1" i="15"/>
  <c r="K7" i="1"/>
  <c r="M7" i="1" s="1"/>
  <c r="O7" i="1" s="1"/>
  <c r="P7" i="1" s="1"/>
  <c r="K1" i="12"/>
  <c r="G1" i="68"/>
  <c r="BA14" i="3"/>
  <c r="K3" i="80"/>
  <c r="E5" i="6"/>
  <c r="D9" i="11" s="1"/>
  <c r="C9" i="11" s="1"/>
  <c r="H5" i="3"/>
  <c r="BA36" i="3"/>
  <c r="BL38" i="3"/>
  <c r="BL24" i="3"/>
  <c r="BA25" i="3"/>
  <c r="BA26" i="3"/>
  <c r="BL28" i="3"/>
  <c r="BL23" i="3"/>
  <c r="BA22" i="3"/>
  <c r="BA20" i="3"/>
  <c r="AZ14" i="3"/>
  <c r="BA13" i="3"/>
  <c r="BN5" i="3"/>
  <c r="BF5" i="3"/>
  <c r="H69" i="43"/>
  <c r="A4" i="52"/>
  <c r="B41" i="72" s="1"/>
  <c r="A118" i="9"/>
  <c r="A2" i="9"/>
  <c r="H112" i="9"/>
  <c r="D21" i="53" s="1"/>
  <c r="B39" i="72" s="1"/>
  <c r="B19" i="53"/>
  <c r="B37" i="72" s="1"/>
  <c r="AB20" i="36"/>
  <c r="W13" i="39"/>
  <c r="AC13" i="39"/>
  <c r="W11" i="35"/>
  <c r="AC11" i="35"/>
  <c r="W17" i="40"/>
  <c r="AC17" i="40"/>
  <c r="AZ544" i="3"/>
  <c r="AZ542" i="3"/>
  <c r="AZ538" i="3"/>
  <c r="AZ537" i="3"/>
  <c r="AZ534" i="3"/>
  <c r="AZ532" i="3"/>
  <c r="AZ530" i="3"/>
  <c r="AZ528" i="3"/>
  <c r="AZ524" i="3"/>
  <c r="AZ520" i="3"/>
  <c r="AZ518" i="3"/>
  <c r="AZ516" i="3"/>
  <c r="AZ513" i="3"/>
  <c r="AZ510" i="3"/>
  <c r="AZ509" i="3"/>
  <c r="AZ508" i="3"/>
  <c r="AZ506" i="3"/>
  <c r="AZ504" i="3"/>
  <c r="AZ498" i="3"/>
  <c r="AB19" i="33"/>
  <c r="AC25" i="33"/>
  <c r="AA23" i="21"/>
  <c r="AA19" i="33"/>
  <c r="W23" i="21"/>
  <c r="AA32" i="37"/>
  <c r="S32" i="37"/>
  <c r="U41" i="34"/>
  <c r="AB41" i="34"/>
  <c r="AB27" i="33"/>
  <c r="S29" i="35"/>
  <c r="AA29" i="35"/>
  <c r="AB16" i="36"/>
  <c r="U16" i="36"/>
  <c r="F31" i="12"/>
  <c r="AC27" i="33"/>
  <c r="AC23" i="37"/>
  <c r="AC9" i="21"/>
  <c r="AB42" i="21"/>
  <c r="W27" i="40"/>
  <c r="AB23" i="21"/>
  <c r="S13" i="21"/>
  <c r="M18" i="15"/>
  <c r="AB35" i="40"/>
  <c r="U35" i="40"/>
  <c r="AZ313" i="3"/>
  <c r="S11" i="39"/>
  <c r="AA11" i="39"/>
  <c r="S33" i="34"/>
  <c r="AA33" i="34"/>
  <c r="AC47" i="34"/>
  <c r="W47" i="34"/>
  <c r="AB15" i="34"/>
  <c r="U15" i="34"/>
  <c r="S25" i="34"/>
  <c r="AA25" i="34"/>
  <c r="AC27" i="39"/>
  <c r="W27" i="39"/>
  <c r="AB40" i="39"/>
  <c r="U40" i="39"/>
  <c r="BA586" i="3"/>
  <c r="AZ585" i="3"/>
  <c r="W39" i="34"/>
  <c r="AC39" i="34"/>
  <c r="AA17" i="33"/>
  <c r="AC21" i="40"/>
  <c r="U27" i="40"/>
  <c r="AB27" i="40"/>
  <c r="AA32" i="33"/>
  <c r="S32" i="33"/>
  <c r="J46" i="21"/>
  <c r="F46" i="21"/>
  <c r="AZ511" i="3"/>
  <c r="D68" i="9"/>
  <c r="U19" i="39"/>
  <c r="S25" i="35"/>
  <c r="AA25" i="35"/>
  <c r="U16" i="35"/>
  <c r="AB16" i="35"/>
  <c r="W12" i="37"/>
  <c r="AC12" i="37"/>
  <c r="F9" i="34"/>
  <c r="AA9" i="34" s="1"/>
  <c r="J9" i="34"/>
  <c r="AC25" i="37"/>
  <c r="W25" i="37"/>
  <c r="AZ402" i="3"/>
  <c r="S15" i="37"/>
  <c r="F29" i="6"/>
  <c r="AZ364" i="3"/>
  <c r="AZ346" i="3"/>
  <c r="AZ329" i="3"/>
  <c r="H12" i="37"/>
  <c r="AB12" i="37" s="1"/>
  <c r="AZ577" i="3"/>
  <c r="S45" i="33"/>
  <c r="J34" i="36"/>
  <c r="W34" i="36" s="1"/>
  <c r="BL585" i="3"/>
  <c r="H23" i="36"/>
  <c r="J23" i="36"/>
  <c r="BP5" i="3"/>
  <c r="AZ379" i="3"/>
  <c r="AZ357" i="3"/>
  <c r="AZ394" i="3"/>
  <c r="BL531" i="3"/>
  <c r="AZ531" i="3" s="1"/>
  <c r="BA514" i="3"/>
  <c r="AZ514" i="3" s="1"/>
  <c r="W33" i="33"/>
  <c r="H36" i="35"/>
  <c r="J36" i="35"/>
  <c r="AC36" i="35" s="1"/>
  <c r="J24" i="36"/>
  <c r="H24" i="36"/>
  <c r="H33" i="36"/>
  <c r="BL515" i="3"/>
  <c r="AZ515" i="3" s="1"/>
  <c r="AZ523" i="3"/>
  <c r="AZ561" i="3"/>
  <c r="AZ571" i="3"/>
  <c r="AB46" i="34"/>
  <c r="BL587" i="3"/>
  <c r="AZ587" i="3" s="1"/>
  <c r="BL586" i="3"/>
  <c r="H9" i="34"/>
  <c r="AA34" i="40"/>
  <c r="S34" i="40"/>
  <c r="BA550" i="3"/>
  <c r="AZ550" i="3" s="1"/>
  <c r="W37" i="37"/>
  <c r="BC5" i="3"/>
  <c r="AZ362" i="3"/>
  <c r="AZ338" i="3"/>
  <c r="AZ311" i="3"/>
  <c r="AZ390" i="3"/>
  <c r="AZ371" i="3"/>
  <c r="AZ351" i="3"/>
  <c r="AZ336" i="3"/>
  <c r="AZ305" i="3"/>
  <c r="AZ187" i="3"/>
  <c r="BL543" i="3"/>
  <c r="AZ543" i="3" s="1"/>
  <c r="AZ564" i="3"/>
  <c r="AZ580" i="3"/>
  <c r="S11" i="36"/>
  <c r="U34" i="35"/>
  <c r="AC28" i="36"/>
  <c r="W28" i="36"/>
  <c r="BL535" i="3"/>
  <c r="AZ535" i="3" s="1"/>
  <c r="AZ575" i="3"/>
  <c r="AZ582" i="3"/>
  <c r="U46" i="33"/>
  <c r="AB14" i="40"/>
  <c r="W31" i="40"/>
  <c r="G587" i="3"/>
  <c r="AC40" i="33"/>
  <c r="W40" i="33"/>
  <c r="W31" i="35"/>
  <c r="AC31" i="35"/>
  <c r="AZ519" i="3"/>
  <c r="AZ521" i="3"/>
  <c r="G586" i="3"/>
  <c r="J12" i="34"/>
  <c r="H12" i="34"/>
  <c r="J39" i="40"/>
  <c r="H39" i="40"/>
  <c r="BI5" i="3"/>
  <c r="AZ345" i="3"/>
  <c r="AZ334" i="3"/>
  <c r="AZ347" i="3"/>
  <c r="AZ376" i="3"/>
  <c r="BL503" i="3"/>
  <c r="AZ503" i="3" s="1"/>
  <c r="BL527" i="3"/>
  <c r="AZ527" i="3" s="1"/>
  <c r="BL547" i="3"/>
  <c r="AZ547" i="3" s="1"/>
  <c r="AZ579" i="3"/>
  <c r="AZ570" i="3"/>
  <c r="AC28" i="21"/>
  <c r="F34" i="36"/>
  <c r="AB33" i="33"/>
  <c r="U33" i="33"/>
  <c r="H12" i="36"/>
  <c r="AZ451" i="3"/>
  <c r="BA551" i="3"/>
  <c r="AZ551" i="3" s="1"/>
  <c r="BL548" i="3"/>
  <c r="AZ548" i="3" s="1"/>
  <c r="BA401" i="3"/>
  <c r="BA403" i="3"/>
  <c r="AZ403" i="3" s="1"/>
  <c r="BA404" i="3"/>
  <c r="BA405" i="3"/>
  <c r="AZ405" i="3" s="1"/>
  <c r="BA417" i="3"/>
  <c r="BL423" i="3"/>
  <c r="BL428" i="3"/>
  <c r="BL429" i="3"/>
  <c r="BA441" i="3"/>
  <c r="BA445" i="3"/>
  <c r="BA447" i="3"/>
  <c r="AZ447" i="3" s="1"/>
  <c r="BA450" i="3"/>
  <c r="BL457" i="3"/>
  <c r="BA480" i="3"/>
  <c r="G398" i="3"/>
  <c r="BL400" i="3"/>
  <c r="AZ400" i="3" s="1"/>
  <c r="BL419" i="3"/>
  <c r="BA422" i="3"/>
  <c r="BL424" i="3"/>
  <c r="G426" i="3"/>
  <c r="G427" i="3"/>
  <c r="BA439" i="3"/>
  <c r="BA440" i="3"/>
  <c r="AZ440" i="3" s="1"/>
  <c r="BA442" i="3"/>
  <c r="BA446" i="3"/>
  <c r="G452" i="3"/>
  <c r="G453" i="3"/>
  <c r="BL453" i="3"/>
  <c r="BL454" i="3"/>
  <c r="BA469" i="3"/>
  <c r="AZ469" i="3" s="1"/>
  <c r="BA476" i="3"/>
  <c r="AZ476" i="3" s="1"/>
  <c r="BA477" i="3"/>
  <c r="BA489" i="3"/>
  <c r="BL316" i="3"/>
  <c r="BL340" i="3"/>
  <c r="AZ340" i="3" s="1"/>
  <c r="G551" i="3"/>
  <c r="BL550" i="3"/>
  <c r="G542" i="3"/>
  <c r="BL398" i="3"/>
  <c r="BL403" i="3"/>
  <c r="BA408" i="3"/>
  <c r="AZ408" i="3" s="1"/>
  <c r="BA409" i="3"/>
  <c r="AZ409" i="3" s="1"/>
  <c r="BA411" i="3"/>
  <c r="BL420" i="3"/>
  <c r="BL425" i="3"/>
  <c r="BL426" i="3"/>
  <c r="AZ426" i="3" s="1"/>
  <c r="BA438" i="3"/>
  <c r="G449" i="3"/>
  <c r="BL480" i="3"/>
  <c r="G482" i="3"/>
  <c r="BL483" i="3"/>
  <c r="BL401" i="3"/>
  <c r="BL404" i="3"/>
  <c r="BL405" i="3"/>
  <c r="BL407" i="3"/>
  <c r="AZ407" i="3" s="1"/>
  <c r="BA412" i="3"/>
  <c r="AZ412" i="3" s="1"/>
  <c r="BL412" i="3"/>
  <c r="BL417" i="3"/>
  <c r="BL418" i="3"/>
  <c r="BL421" i="3"/>
  <c r="BL422" i="3"/>
  <c r="BA434" i="3"/>
  <c r="BA436" i="3"/>
  <c r="G445" i="3"/>
  <c r="BA463" i="3"/>
  <c r="BA466" i="3"/>
  <c r="AZ466" i="3" s="1"/>
  <c r="BA467" i="3"/>
  <c r="BA468" i="3"/>
  <c r="BA471" i="3"/>
  <c r="AZ471" i="3" s="1"/>
  <c r="BL476" i="3"/>
  <c r="BL477" i="3"/>
  <c r="BL478" i="3"/>
  <c r="G479" i="3"/>
  <c r="G480" i="3"/>
  <c r="BL488" i="3"/>
  <c r="BL489" i="3"/>
  <c r="BA335" i="3"/>
  <c r="AZ335" i="3" s="1"/>
  <c r="BA432" i="3"/>
  <c r="AZ432" i="3" s="1"/>
  <c r="BA307" i="3"/>
  <c r="AZ307" i="3" s="1"/>
  <c r="BL328" i="3"/>
  <c r="AZ328" i="3" s="1"/>
  <c r="BL408" i="3"/>
  <c r="BL411" i="3"/>
  <c r="BL414" i="3"/>
  <c r="BL415" i="3"/>
  <c r="BA428" i="3"/>
  <c r="AZ428" i="3" s="1"/>
  <c r="BA429" i="3"/>
  <c r="AZ429" i="3" s="1"/>
  <c r="BA430" i="3"/>
  <c r="AZ430" i="3" s="1"/>
  <c r="BL433" i="3"/>
  <c r="BL434" i="3"/>
  <c r="BL463" i="3"/>
  <c r="BL466" i="3"/>
  <c r="G469" i="3"/>
  <c r="BL470" i="3"/>
  <c r="AZ470" i="3" s="1"/>
  <c r="BL473" i="3"/>
  <c r="AZ473" i="3" s="1"/>
  <c r="BL474" i="3"/>
  <c r="AZ487" i="3"/>
  <c r="AZ228" i="3"/>
  <c r="AZ419" i="3"/>
  <c r="BL435" i="3"/>
  <c r="BL436" i="3"/>
  <c r="AZ443" i="3"/>
  <c r="BA453" i="3"/>
  <c r="BA455" i="3"/>
  <c r="AZ455" i="3" s="1"/>
  <c r="BL464" i="3"/>
  <c r="BL467" i="3"/>
  <c r="BL468" i="3"/>
  <c r="BL471" i="3"/>
  <c r="BL475" i="3"/>
  <c r="AZ201" i="3"/>
  <c r="J9" i="36"/>
  <c r="G574" i="3"/>
  <c r="BL15" i="3"/>
  <c r="AZ15" i="3" s="1"/>
  <c r="BA398" i="3"/>
  <c r="AZ398" i="3" s="1"/>
  <c r="BA399" i="3"/>
  <c r="AZ399" i="3" s="1"/>
  <c r="BL427" i="3"/>
  <c r="BL432" i="3"/>
  <c r="BA449" i="3"/>
  <c r="AZ449" i="3" s="1"/>
  <c r="BL460" i="3"/>
  <c r="BL461" i="3"/>
  <c r="BL484" i="3"/>
  <c r="G485" i="3"/>
  <c r="BA331" i="3"/>
  <c r="AZ331"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BA459" i="3"/>
  <c r="AZ459" i="3" s="1"/>
  <c r="BA460" i="3"/>
  <c r="AZ460" i="3" s="1"/>
  <c r="BA461" i="3"/>
  <c r="AZ461" i="3" s="1"/>
  <c r="BA483" i="3"/>
  <c r="BA486" i="3"/>
  <c r="BA315" i="3"/>
  <c r="AZ315" i="3" s="1"/>
  <c r="BA333" i="3"/>
  <c r="BL346" i="3"/>
  <c r="G374" i="3"/>
  <c r="BA384" i="3"/>
  <c r="AZ384" i="3" s="1"/>
  <c r="BL213" i="3"/>
  <c r="BL215" i="3"/>
  <c r="BA222" i="3"/>
  <c r="AZ222" i="3" s="1"/>
  <c r="BA224" i="3"/>
  <c r="AZ224" i="3" s="1"/>
  <c r="BA226" i="3"/>
  <c r="BA294" i="3"/>
  <c r="AZ294" i="3" s="1"/>
  <c r="BA298" i="3"/>
  <c r="AZ298" i="3" s="1"/>
  <c r="BL301" i="3"/>
  <c r="AZ301" i="3" s="1"/>
  <c r="BL302" i="3"/>
  <c r="BA128" i="3"/>
  <c r="AZ128" i="3" s="1"/>
  <c r="BL134" i="3"/>
  <c r="BL137" i="3"/>
  <c r="BA146" i="3"/>
  <c r="AZ146" i="3" s="1"/>
  <c r="BA150" i="3"/>
  <c r="G159" i="3"/>
  <c r="G184" i="3"/>
  <c r="BL193" i="3"/>
  <c r="BA58" i="3"/>
  <c r="BL59" i="3"/>
  <c r="AZ59" i="3" s="1"/>
  <c r="BL60" i="3"/>
  <c r="D28" i="71"/>
  <c r="U28" i="71" s="1"/>
  <c r="T28" i="71"/>
  <c r="C27" i="71"/>
  <c r="C55" i="71"/>
  <c r="D54" i="71"/>
  <c r="F66" i="71"/>
  <c r="Q67" i="71"/>
  <c r="BL438" i="3"/>
  <c r="BL439" i="3"/>
  <c r="BL445" i="3"/>
  <c r="BL446" i="3"/>
  <c r="AZ446" i="3" s="1"/>
  <c r="BL449" i="3"/>
  <c r="BL450" i="3"/>
  <c r="BL452" i="3"/>
  <c r="G454" i="3"/>
  <c r="BL456" i="3"/>
  <c r="BA464" i="3"/>
  <c r="BA482" i="3"/>
  <c r="BA484" i="3"/>
  <c r="AZ484" i="3" s="1"/>
  <c r="BA303" i="3"/>
  <c r="AZ303" i="3" s="1"/>
  <c r="BL314" i="3"/>
  <c r="AZ314" i="3" s="1"/>
  <c r="G315" i="3"/>
  <c r="BA332" i="3"/>
  <c r="AZ332" i="3" s="1"/>
  <c r="G364" i="3"/>
  <c r="BA370" i="3"/>
  <c r="AZ370" i="3" s="1"/>
  <c r="BA386" i="3"/>
  <c r="AZ386" i="3" s="1"/>
  <c r="BL218" i="3"/>
  <c r="AZ218" i="3" s="1"/>
  <c r="BL220" i="3"/>
  <c r="BL221" i="3"/>
  <c r="G222" i="3"/>
  <c r="BL223" i="3"/>
  <c r="G224" i="3"/>
  <c r="BA227" i="3"/>
  <c r="AZ227" i="3" s="1"/>
  <c r="BA229" i="3"/>
  <c r="BA247" i="3"/>
  <c r="BA249" i="3"/>
  <c r="AZ249" i="3" s="1"/>
  <c r="BA251" i="3"/>
  <c r="BA253" i="3"/>
  <c r="BA290" i="3"/>
  <c r="G297" i="3"/>
  <c r="BL299" i="3"/>
  <c r="G300" i="3"/>
  <c r="BL113" i="3"/>
  <c r="BA118" i="3"/>
  <c r="AZ118" i="3" s="1"/>
  <c r="BA122" i="3"/>
  <c r="AZ122" i="3" s="1"/>
  <c r="BL125" i="3"/>
  <c r="AZ125" i="3" s="1"/>
  <c r="BL126" i="3"/>
  <c r="BA144" i="3"/>
  <c r="AZ144" i="3" s="1"/>
  <c r="BL155" i="3"/>
  <c r="AZ155" i="3" s="1"/>
  <c r="BA168" i="3"/>
  <c r="AZ168" i="3" s="1"/>
  <c r="BA33" i="3"/>
  <c r="BL48" i="3"/>
  <c r="BA478" i="3"/>
  <c r="BA481" i="3"/>
  <c r="G484" i="3"/>
  <c r="BA488" i="3"/>
  <c r="AZ488" i="3" s="1"/>
  <c r="BA491" i="3"/>
  <c r="AZ491" i="3" s="1"/>
  <c r="BL324" i="3"/>
  <c r="AZ324" i="3" s="1"/>
  <c r="BA339" i="3"/>
  <c r="AZ339" i="3" s="1"/>
  <c r="G343" i="3"/>
  <c r="BA348" i="3"/>
  <c r="BA350" i="3"/>
  <c r="AZ350" i="3" s="1"/>
  <c r="BL385" i="3"/>
  <c r="BA397" i="3"/>
  <c r="AZ397" i="3" s="1"/>
  <c r="BA210" i="3"/>
  <c r="AZ210" i="3" s="1"/>
  <c r="BL225" i="3"/>
  <c r="BL226" i="3"/>
  <c r="G227" i="3"/>
  <c r="BA239" i="3"/>
  <c r="BA241" i="3"/>
  <c r="BA244" i="3"/>
  <c r="AZ244" i="3" s="1"/>
  <c r="BA246" i="3"/>
  <c r="BA252" i="3"/>
  <c r="AZ252" i="3" s="1"/>
  <c r="BA254" i="3"/>
  <c r="AZ254" i="3" s="1"/>
  <c r="BA256" i="3"/>
  <c r="AZ256" i="3" s="1"/>
  <c r="BA258" i="3"/>
  <c r="BA268" i="3"/>
  <c r="BA277" i="3"/>
  <c r="BA282" i="3"/>
  <c r="BA284" i="3"/>
  <c r="AZ284" i="3" s="1"/>
  <c r="BL130" i="3"/>
  <c r="BL138" i="3"/>
  <c r="BA142" i="3"/>
  <c r="BL149" i="3"/>
  <c r="AZ149" i="3" s="1"/>
  <c r="BL150" i="3"/>
  <c r="AZ177" i="3"/>
  <c r="BA178" i="3"/>
  <c r="AZ178" i="3" s="1"/>
  <c r="BL191" i="3"/>
  <c r="AZ191" i="3" s="1"/>
  <c r="BA21" i="3"/>
  <c r="BL25" i="3"/>
  <c r="BL27" i="3"/>
  <c r="BA40" i="3"/>
  <c r="G47" i="3"/>
  <c r="BA53" i="3"/>
  <c r="AZ53" i="3" s="1"/>
  <c r="BA54" i="3"/>
  <c r="BL57" i="3"/>
  <c r="BL74" i="3"/>
  <c r="BL91" i="3"/>
  <c r="D44" i="71"/>
  <c r="T44" i="71"/>
  <c r="BA349" i="3"/>
  <c r="AZ349" i="3" s="1"/>
  <c r="BL353" i="3"/>
  <c r="BA358" i="3"/>
  <c r="AZ358" i="3" s="1"/>
  <c r="BA368" i="3"/>
  <c r="BA396" i="3"/>
  <c r="BA209" i="3"/>
  <c r="BL228" i="3"/>
  <c r="BA230" i="3"/>
  <c r="AZ230" i="3" s="1"/>
  <c r="BA236" i="3"/>
  <c r="BA238" i="3"/>
  <c r="AZ238" i="3" s="1"/>
  <c r="BA243" i="3"/>
  <c r="AZ243" i="3" s="1"/>
  <c r="BL248" i="3"/>
  <c r="AZ248" i="3" s="1"/>
  <c r="BL250" i="3"/>
  <c r="AZ250" i="3" s="1"/>
  <c r="BA259" i="3"/>
  <c r="AZ259" i="3" s="1"/>
  <c r="G291" i="3"/>
  <c r="BA116" i="3"/>
  <c r="AZ116" i="3" s="1"/>
  <c r="BL121" i="3"/>
  <c r="BL143" i="3"/>
  <c r="AZ143" i="3" s="1"/>
  <c r="BA176" i="3"/>
  <c r="AZ176" i="3" s="1"/>
  <c r="BL179" i="3"/>
  <c r="AZ179" i="3" s="1"/>
  <c r="G27" i="3"/>
  <c r="H17" i="80" s="1"/>
  <c r="K17" i="80" s="1"/>
  <c r="BL35" i="3"/>
  <c r="BA39" i="3"/>
  <c r="BA41" i="3"/>
  <c r="AZ41" i="3" s="1"/>
  <c r="BA42" i="3"/>
  <c r="BL45" i="3"/>
  <c r="BA52" i="3"/>
  <c r="BA65" i="3"/>
  <c r="AZ65" i="3" s="1"/>
  <c r="BA109" i="3"/>
  <c r="C31" i="71"/>
  <c r="D30" i="71"/>
  <c r="G349" i="3"/>
  <c r="BA395" i="3"/>
  <c r="AZ395" i="3" s="1"/>
  <c r="BA208" i="3"/>
  <c r="AZ208" i="3" s="1"/>
  <c r="BA211" i="3"/>
  <c r="AZ211" i="3" s="1"/>
  <c r="BA237" i="3"/>
  <c r="AZ237" i="3" s="1"/>
  <c r="BL240" i="3"/>
  <c r="AZ240" i="3" s="1"/>
  <c r="BA242" i="3"/>
  <c r="AZ242" i="3" s="1"/>
  <c r="BL245" i="3"/>
  <c r="AZ245" i="3" s="1"/>
  <c r="BL255" i="3"/>
  <c r="G257" i="3"/>
  <c r="BL257" i="3"/>
  <c r="AZ257" i="3" s="1"/>
  <c r="BL258" i="3"/>
  <c r="G259" i="3"/>
  <c r="BA262" i="3"/>
  <c r="AZ262" i="3" s="1"/>
  <c r="BL265" i="3"/>
  <c r="AZ265" i="3" s="1"/>
  <c r="BA273" i="3"/>
  <c r="BA278" i="3"/>
  <c r="AZ278" i="3" s="1"/>
  <c r="BA280" i="3"/>
  <c r="AZ280" i="3" s="1"/>
  <c r="BL283" i="3"/>
  <c r="AZ283" i="3" s="1"/>
  <c r="BL284" i="3"/>
  <c r="G288" i="3"/>
  <c r="BL292" i="3"/>
  <c r="BL295" i="3"/>
  <c r="BA114" i="3"/>
  <c r="BL123" i="3"/>
  <c r="AZ123" i="3" s="1"/>
  <c r="BL166" i="3"/>
  <c r="BA185" i="3"/>
  <c r="BA19" i="3"/>
  <c r="BA30" i="3"/>
  <c r="AZ30" i="3" s="1"/>
  <c r="BL34" i="3"/>
  <c r="BA38" i="3"/>
  <c r="BA367" i="3"/>
  <c r="AZ367" i="3" s="1"/>
  <c r="G397" i="3"/>
  <c r="G210" i="3"/>
  <c r="BL229" i="3"/>
  <c r="BL231" i="3"/>
  <c r="BL247" i="3"/>
  <c r="BL251" i="3"/>
  <c r="BL260" i="3"/>
  <c r="G262" i="3"/>
  <c r="BL263" i="3"/>
  <c r="AZ263" i="3" s="1"/>
  <c r="G264" i="3"/>
  <c r="BL270" i="3"/>
  <c r="AZ270" i="3" s="1"/>
  <c r="BA272" i="3"/>
  <c r="AZ272" i="3" s="1"/>
  <c r="BL275" i="3"/>
  <c r="AZ275" i="3" s="1"/>
  <c r="G277" i="3"/>
  <c r="G280" i="3"/>
  <c r="G282" i="3"/>
  <c r="BL285" i="3"/>
  <c r="BL287" i="3"/>
  <c r="BL115" i="3"/>
  <c r="AZ115" i="3" s="1"/>
  <c r="BL118" i="3"/>
  <c r="BL161" i="3"/>
  <c r="G162" i="3"/>
  <c r="BL162" i="3"/>
  <c r="AZ162" i="3" s="1"/>
  <c r="BL165" i="3"/>
  <c r="G166" i="3"/>
  <c r="BA173" i="3"/>
  <c r="AZ173" i="3" s="1"/>
  <c r="BA174" i="3"/>
  <c r="BL178" i="3"/>
  <c r="BL186" i="3"/>
  <c r="BA194" i="3"/>
  <c r="AZ194" i="3" s="1"/>
  <c r="BA196" i="3"/>
  <c r="AZ196" i="3" s="1"/>
  <c r="BA29" i="3"/>
  <c r="G32" i="3"/>
  <c r="H22" i="80" s="1"/>
  <c r="K22" i="80" s="1"/>
  <c r="BA62" i="3"/>
  <c r="AZ62" i="3" s="1"/>
  <c r="BL62" i="3"/>
  <c r="BL63" i="3"/>
  <c r="BA94" i="3"/>
  <c r="AZ94" i="3" s="1"/>
  <c r="BL100" i="3"/>
  <c r="AZ100" i="3" s="1"/>
  <c r="C52" i="71"/>
  <c r="D51" i="71"/>
  <c r="BL239" i="3"/>
  <c r="BL241" i="3"/>
  <c r="BL244" i="3"/>
  <c r="BL264" i="3"/>
  <c r="BL266" i="3"/>
  <c r="BL273" i="3"/>
  <c r="G274" i="3"/>
  <c r="BL277" i="3"/>
  <c r="BL282" i="3"/>
  <c r="BA297" i="3"/>
  <c r="AZ297" i="3" s="1"/>
  <c r="BA302" i="3"/>
  <c r="AZ302" i="3" s="1"/>
  <c r="G115" i="3"/>
  <c r="BA130" i="3"/>
  <c r="AZ130" i="3" s="1"/>
  <c r="BA137" i="3"/>
  <c r="AZ137" i="3" s="1"/>
  <c r="BA140" i="3"/>
  <c r="AZ140" i="3" s="1"/>
  <c r="BA152" i="3"/>
  <c r="AZ152" i="3" s="1"/>
  <c r="BA154" i="3"/>
  <c r="AZ154" i="3" s="1"/>
  <c r="BA160" i="3"/>
  <c r="AZ160" i="3" s="1"/>
  <c r="BL167" i="3"/>
  <c r="AZ167" i="3" s="1"/>
  <c r="BL175" i="3"/>
  <c r="AZ175" i="3" s="1"/>
  <c r="BA193" i="3"/>
  <c r="AZ193" i="3" s="1"/>
  <c r="BL197" i="3"/>
  <c r="G198" i="3"/>
  <c r="BL199" i="3"/>
  <c r="AZ199" i="3" s="1"/>
  <c r="BL20" i="3"/>
  <c r="AZ20" i="3" s="1"/>
  <c r="G31" i="3"/>
  <c r="H21" i="80" s="1"/>
  <c r="K21" i="80" s="1"/>
  <c r="BL52" i="3"/>
  <c r="BA70" i="3"/>
  <c r="BA105" i="3"/>
  <c r="AZ105" i="3" s="1"/>
  <c r="P65" i="71"/>
  <c r="P66" i="71"/>
  <c r="BL317" i="3"/>
  <c r="BA353" i="3"/>
  <c r="AZ353" i="3" s="1"/>
  <c r="BL365" i="3"/>
  <c r="AZ365" i="3" s="1"/>
  <c r="BL368" i="3"/>
  <c r="BA374" i="3"/>
  <c r="AZ374" i="3" s="1"/>
  <c r="BA388" i="3"/>
  <c r="AZ388" i="3" s="1"/>
  <c r="BL217" i="3"/>
  <c r="AZ217" i="3" s="1"/>
  <c r="BA219" i="3"/>
  <c r="AZ219" i="3" s="1"/>
  <c r="BA221" i="3"/>
  <c r="BA223" i="3"/>
  <c r="AZ223" i="3" s="1"/>
  <c r="BL232" i="3"/>
  <c r="BL234" i="3"/>
  <c r="BL261" i="3"/>
  <c r="BL271" i="3"/>
  <c r="AZ271" i="3" s="1"/>
  <c r="BL274" i="3"/>
  <c r="AZ274" i="3" s="1"/>
  <c r="BA296" i="3"/>
  <c r="BA121" i="3"/>
  <c r="AZ121" i="3" s="1"/>
  <c r="BA124" i="3"/>
  <c r="AZ124" i="3" s="1"/>
  <c r="AZ126" i="3"/>
  <c r="AZ38" i="3"/>
  <c r="BL69" i="3"/>
  <c r="C60" i="71"/>
  <c r="D59" i="71"/>
  <c r="G64" i="3"/>
  <c r="G67" i="3"/>
  <c r="BL68" i="3"/>
  <c r="G72" i="3"/>
  <c r="BL73" i="3"/>
  <c r="G81" i="3"/>
  <c r="BA86" i="3"/>
  <c r="AZ86" i="3" s="1"/>
  <c r="BA87" i="3"/>
  <c r="BA91" i="3"/>
  <c r="BA108" i="3"/>
  <c r="AZ108" i="3" s="1"/>
  <c r="BA110" i="3"/>
  <c r="AZ110" i="3" s="1"/>
  <c r="S21" i="37"/>
  <c r="B77" i="43"/>
  <c r="AA18" i="35"/>
  <c r="D71" i="71"/>
  <c r="AA28" i="71"/>
  <c r="E79" i="71"/>
  <c r="E78" i="71" s="1"/>
  <c r="AB25" i="71"/>
  <c r="X38" i="71"/>
  <c r="B34" i="71"/>
  <c r="B35" i="71" s="1"/>
  <c r="B36" i="71" s="1"/>
  <c r="S36" i="71" s="1"/>
  <c r="AB32" i="71"/>
  <c r="X33" i="71"/>
  <c r="B75" i="71"/>
  <c r="B74" i="71" s="1"/>
  <c r="BA89" i="3"/>
  <c r="BA103" i="3"/>
  <c r="AZ103" i="3" s="1"/>
  <c r="BA104" i="3"/>
  <c r="BA106" i="3"/>
  <c r="BL108" i="3"/>
  <c r="BL111" i="3"/>
  <c r="AA27" i="71"/>
  <c r="C79" i="71"/>
  <c r="C39" i="71"/>
  <c r="Y37" i="71"/>
  <c r="Z37" i="71" s="1"/>
  <c r="AA37" i="71"/>
  <c r="X28" i="71"/>
  <c r="AB38" i="71"/>
  <c r="F75" i="71"/>
  <c r="F74" i="71" s="1"/>
  <c r="U76" i="71"/>
  <c r="B79" i="71"/>
  <c r="B78" i="71" s="1"/>
  <c r="T80" i="71"/>
  <c r="BL177" i="3"/>
  <c r="G179" i="3"/>
  <c r="BA186" i="3"/>
  <c r="BA190" i="3"/>
  <c r="AZ190" i="3" s="1"/>
  <c r="G196" i="3"/>
  <c r="BA204" i="3"/>
  <c r="AZ204" i="3" s="1"/>
  <c r="BA18" i="3"/>
  <c r="AZ18" i="3" s="1"/>
  <c r="G21" i="3"/>
  <c r="H11" i="80" s="1"/>
  <c r="K11" i="80" s="1"/>
  <c r="BL21" i="3"/>
  <c r="G23" i="3"/>
  <c r="H13" i="80" s="1"/>
  <c r="K13" i="80" s="1"/>
  <c r="BA37" i="3"/>
  <c r="G39" i="3"/>
  <c r="BL39" i="3"/>
  <c r="G43" i="3"/>
  <c r="G44" i="3"/>
  <c r="BA56" i="3"/>
  <c r="BA57" i="3"/>
  <c r="AZ57" i="3" s="1"/>
  <c r="BL58" i="3"/>
  <c r="G60" i="3"/>
  <c r="BA84" i="3"/>
  <c r="BL88" i="3"/>
  <c r="AZ88" i="3" s="1"/>
  <c r="G90" i="3"/>
  <c r="BL90" i="3"/>
  <c r="BL92" i="3"/>
  <c r="BA101" i="3"/>
  <c r="G108" i="3"/>
  <c r="G109" i="3"/>
  <c r="BL112" i="3"/>
  <c r="AC21" i="33"/>
  <c r="S21" i="34"/>
  <c r="B88" i="43"/>
  <c r="Q68" i="71"/>
  <c r="AA34" i="71"/>
  <c r="AB35" i="71"/>
  <c r="V68" i="71"/>
  <c r="BA153" i="3"/>
  <c r="BA164" i="3"/>
  <c r="AZ164" i="3" s="1"/>
  <c r="BA166" i="3"/>
  <c r="BA169" i="3"/>
  <c r="AZ169" i="3" s="1"/>
  <c r="BL171" i="3"/>
  <c r="AZ171" i="3" s="1"/>
  <c r="G174" i="3"/>
  <c r="BA184" i="3"/>
  <c r="AZ184" i="3" s="1"/>
  <c r="BL187" i="3"/>
  <c r="G188" i="3"/>
  <c r="BL189" i="3"/>
  <c r="AZ189" i="3" s="1"/>
  <c r="BL190" i="3"/>
  <c r="G191" i="3"/>
  <c r="BA200" i="3"/>
  <c r="AZ200" i="3" s="1"/>
  <c r="BA202" i="3"/>
  <c r="BL207" i="3"/>
  <c r="BL18" i="3"/>
  <c r="G19" i="3"/>
  <c r="H9" i="80" s="1"/>
  <c r="K9" i="80" s="1"/>
  <c r="BL19" i="3"/>
  <c r="BA28" i="3"/>
  <c r="AZ28" i="3" s="1"/>
  <c r="BA31" i="3"/>
  <c r="AZ31" i="3" s="1"/>
  <c r="BA32" i="3"/>
  <c r="G38" i="3"/>
  <c r="BL54" i="3"/>
  <c r="BL55" i="3"/>
  <c r="AZ55" i="3" s="1"/>
  <c r="G58" i="3"/>
  <c r="BA64" i="3"/>
  <c r="AZ64" i="3" s="1"/>
  <c r="BA69" i="3"/>
  <c r="AZ69" i="3" s="1"/>
  <c r="BA74" i="3"/>
  <c r="AZ74" i="3" s="1"/>
  <c r="BA75" i="3"/>
  <c r="BL85" i="3"/>
  <c r="G96" i="3"/>
  <c r="BL97" i="3"/>
  <c r="AZ97" i="3" s="1"/>
  <c r="BL101" i="3"/>
  <c r="BL102" i="3"/>
  <c r="AZ102" i="3" s="1"/>
  <c r="G105" i="3"/>
  <c r="BL106" i="3"/>
  <c r="AZ106" i="3" s="1"/>
  <c r="F3" i="35"/>
  <c r="S21" i="33"/>
  <c r="D43" i="71"/>
  <c r="O67" i="71"/>
  <c r="AB27" i="71"/>
  <c r="D68" i="71"/>
  <c r="X26" i="71"/>
  <c r="Y29" i="71"/>
  <c r="Z29" i="71" s="1"/>
  <c r="E38" i="71"/>
  <c r="E39" i="71" s="1"/>
  <c r="E40" i="71" s="1"/>
  <c r="U40" i="71" s="1"/>
  <c r="B30" i="71"/>
  <c r="B31" i="71" s="1"/>
  <c r="B32" i="71" s="1"/>
  <c r="S32" i="71" s="1"/>
  <c r="AB37" i="71"/>
  <c r="F43" i="71"/>
  <c r="F44" i="71" s="1"/>
  <c r="V44" i="71" s="1"/>
  <c r="B67" i="71"/>
  <c r="BA181" i="3"/>
  <c r="AZ181" i="3" s="1"/>
  <c r="BA182" i="3"/>
  <c r="AZ182" i="3" s="1"/>
  <c r="BL185" i="3"/>
  <c r="BA198" i="3"/>
  <c r="AZ198" i="3" s="1"/>
  <c r="BL206" i="3"/>
  <c r="BA27" i="3"/>
  <c r="G30" i="3"/>
  <c r="H20" i="80" s="1"/>
  <c r="K20" i="80" s="1"/>
  <c r="BL30" i="3"/>
  <c r="BL31" i="3"/>
  <c r="G37" i="3"/>
  <c r="BA48" i="3"/>
  <c r="AZ48" i="3" s="1"/>
  <c r="BA49" i="3"/>
  <c r="AZ49" i="3" s="1"/>
  <c r="BA51" i="3"/>
  <c r="G55" i="3"/>
  <c r="BL56" i="3"/>
  <c r="BA61" i="3"/>
  <c r="AZ61" i="3" s="1"/>
  <c r="BA68" i="3"/>
  <c r="BA73" i="3"/>
  <c r="BA80" i="3"/>
  <c r="BL84" i="3"/>
  <c r="G103" i="3"/>
  <c r="U29" i="39"/>
  <c r="C29" i="39"/>
  <c r="C66" i="71"/>
  <c r="AB26" i="71"/>
  <c r="C83" i="71"/>
  <c r="C75" i="71"/>
  <c r="O68" i="71"/>
  <c r="X32" i="71"/>
  <c r="F38" i="71"/>
  <c r="F39" i="71" s="1"/>
  <c r="F40" i="71" s="1"/>
  <c r="V40" i="71" s="1"/>
  <c r="BL183" i="3"/>
  <c r="AZ183" i="3" s="1"/>
  <c r="BA197" i="3"/>
  <c r="AZ197" i="3" s="1"/>
  <c r="BL201" i="3"/>
  <c r="BL203" i="3"/>
  <c r="AZ203" i="3" s="1"/>
  <c r="G29" i="3"/>
  <c r="H19" i="80" s="1"/>
  <c r="K19" i="80" s="1"/>
  <c r="BL29" i="3"/>
  <c r="G33" i="3"/>
  <c r="H23" i="80" s="1"/>
  <c r="K23" i="80" s="1"/>
  <c r="G34" i="3"/>
  <c r="H24" i="80" s="1"/>
  <c r="K24" i="80" s="1"/>
  <c r="BA45" i="3"/>
  <c r="AZ45" i="3" s="1"/>
  <c r="BA46" i="3"/>
  <c r="BL49" i="3"/>
  <c r="BL50" i="3"/>
  <c r="AZ50" i="3" s="1"/>
  <c r="BL51" i="3"/>
  <c r="G53" i="3"/>
  <c r="BL53" i="3"/>
  <c r="BA60" i="3"/>
  <c r="BA63" i="3"/>
  <c r="AZ63" i="3" s="1"/>
  <c r="BA66" i="3"/>
  <c r="BA71" i="3"/>
  <c r="AZ71" i="3" s="1"/>
  <c r="G76" i="3"/>
  <c r="BL77" i="3"/>
  <c r="AZ77" i="3" s="1"/>
  <c r="BA79" i="3"/>
  <c r="AZ79" i="3" s="1"/>
  <c r="G82" i="3"/>
  <c r="G83" i="3"/>
  <c r="G101" i="3"/>
  <c r="AB21" i="33"/>
  <c r="U25" i="40"/>
  <c r="B68" i="43"/>
  <c r="X34" i="71"/>
  <c r="E51" i="71"/>
  <c r="E52" i="71" s="1"/>
  <c r="U52" i="71" s="1"/>
  <c r="E23" i="71"/>
  <c r="E22" i="71" s="1"/>
  <c r="E21" i="71" s="1"/>
  <c r="E20" i="71" s="1"/>
  <c r="BL65" i="3"/>
  <c r="BL66" i="3"/>
  <c r="BL67" i="3"/>
  <c r="AZ67" i="3" s="1"/>
  <c r="BL70" i="3"/>
  <c r="BL71" i="3"/>
  <c r="BL72" i="3"/>
  <c r="AZ72" i="3" s="1"/>
  <c r="BL75" i="3"/>
  <c r="BL81" i="3"/>
  <c r="BL83" i="3"/>
  <c r="BA90" i="3"/>
  <c r="BA111" i="3"/>
  <c r="AZ111" i="3" s="1"/>
  <c r="AB33" i="71"/>
  <c r="E35" i="71"/>
  <c r="E36" i="71" s="1"/>
  <c r="U36" i="71" s="1"/>
  <c r="F36" i="71"/>
  <c r="V36" i="71" s="1"/>
  <c r="B64" i="71"/>
  <c r="S64"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52" i="3"/>
  <c r="AZ456" i="3"/>
  <c r="AZ467" i="3"/>
  <c r="AZ468" i="3"/>
  <c r="W35" i="39"/>
  <c r="F27" i="34"/>
  <c r="C21" i="39"/>
  <c r="U9" i="36"/>
  <c r="U14" i="37"/>
  <c r="H12" i="21"/>
  <c r="G526" i="3"/>
  <c r="AZ420" i="3"/>
  <c r="AZ424" i="3"/>
  <c r="AZ434" i="3"/>
  <c r="AZ436" i="3"/>
  <c r="AZ438" i="3"/>
  <c r="AZ450" i="3"/>
  <c r="G28" i="6"/>
  <c r="U26" i="21"/>
  <c r="W36" i="39"/>
  <c r="U23" i="40"/>
  <c r="AA39" i="37"/>
  <c r="AC16" i="36"/>
  <c r="AB12" i="33"/>
  <c r="C27" i="39"/>
  <c r="U40" i="40"/>
  <c r="AC9" i="40"/>
  <c r="W36" i="35"/>
  <c r="J12" i="21"/>
  <c r="B73" i="43"/>
  <c r="B76" i="43"/>
  <c r="F9" i="36"/>
  <c r="J40" i="40"/>
  <c r="G562" i="3"/>
  <c r="AZ463" i="3"/>
  <c r="AZ485"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AZ185" i="3"/>
  <c r="BL202" i="3"/>
  <c r="AZ202" i="3" s="1"/>
  <c r="BL36" i="3"/>
  <c r="AZ36" i="3" s="1"/>
  <c r="AZ40" i="3"/>
  <c r="AZ68" i="3"/>
  <c r="AZ73" i="3"/>
  <c r="G200" i="3"/>
  <c r="G207" i="3"/>
  <c r="BA23" i="3"/>
  <c r="BA24" i="3"/>
  <c r="AZ24" i="3" s="1"/>
  <c r="BL26" i="3"/>
  <c r="AZ26" i="3" s="1"/>
  <c r="BL32" i="3"/>
  <c r="BA34" i="3"/>
  <c r="AZ34" i="3" s="1"/>
  <c r="BA35" i="3"/>
  <c r="AZ35" i="3" s="1"/>
  <c r="BL37" i="3"/>
  <c r="BL42" i="3"/>
  <c r="AZ42" i="3" s="1"/>
  <c r="BA44" i="3"/>
  <c r="AZ44" i="3" s="1"/>
  <c r="AZ56" i="3"/>
  <c r="AZ60" i="3"/>
  <c r="BA206" i="3"/>
  <c r="AZ206" i="3" s="1"/>
  <c r="BL22" i="3"/>
  <c r="BL33" i="3"/>
  <c r="AZ33" i="3" s="1"/>
  <c r="BL43" i="3"/>
  <c r="AZ43" i="3" s="1"/>
  <c r="BL46" i="3"/>
  <c r="AZ46" i="3" s="1"/>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C31" i="12" s="1"/>
  <c r="I4" i="6"/>
  <c r="G3" i="43" s="1"/>
  <c r="H26" i="43" s="1"/>
  <c r="L19" i="6"/>
  <c r="L27" i="6" s="1"/>
  <c r="M6" i="1"/>
  <c r="O6" i="1" s="1"/>
  <c r="P6" i="1" s="1"/>
  <c r="C13" i="12"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Q71" i="67"/>
  <c r="C27" i="67"/>
  <c r="F71" i="67"/>
  <c r="N59" i="67"/>
  <c r="L59" i="67"/>
  <c r="L58" i="67"/>
  <c r="M59" i="67"/>
  <c r="B13" i="70"/>
  <c r="M7" i="67"/>
  <c r="J6" i="67" s="1"/>
  <c r="F50" i="67"/>
  <c r="F68" i="67"/>
  <c r="F64" i="67"/>
  <c r="C36" i="68"/>
  <c r="D9" i="69"/>
  <c r="C36" i="69"/>
  <c r="D9" i="68"/>
  <c r="M22" i="15"/>
  <c r="L48" i="15"/>
  <c r="F40" i="15"/>
  <c r="F42" i="15"/>
  <c r="C16" i="67"/>
  <c r="F26" i="15"/>
  <c r="F36" i="15"/>
  <c r="D3" i="73"/>
  <c r="M9" i="15"/>
  <c r="F7" i="15"/>
  <c r="M6" i="15"/>
  <c r="F16" i="15"/>
  <c r="M8" i="15"/>
  <c r="F43" i="15"/>
  <c r="F8" i="15"/>
  <c r="M24" i="15"/>
  <c r="F37" i="15"/>
  <c r="F38" i="15"/>
  <c r="D7" i="73"/>
  <c r="C76" i="15"/>
  <c r="F13" i="15"/>
  <c r="D6" i="73"/>
  <c r="F6" i="15"/>
  <c r="L47" i="15"/>
  <c r="D5" i="73"/>
  <c r="M28" i="15"/>
  <c r="F9" i="15"/>
  <c r="M29" i="15"/>
  <c r="D4" i="73"/>
  <c r="J15" i="15"/>
  <c r="M23" i="15"/>
  <c r="M26" i="15"/>
  <c r="AA23" i="35" l="1"/>
  <c r="S23" i="35"/>
  <c r="U23" i="35"/>
  <c r="AB23" i="35"/>
  <c r="AB14" i="36"/>
  <c r="AC14" i="36"/>
  <c r="W14" i="36"/>
  <c r="S14" i="36"/>
  <c r="AA37" i="21"/>
  <c r="S37" i="21"/>
  <c r="AC19" i="21"/>
  <c r="U19" i="21"/>
  <c r="AB19" i="21"/>
  <c r="J7" i="36"/>
  <c r="W7" i="36" s="1"/>
  <c r="S17" i="39"/>
  <c r="F30" i="69"/>
  <c r="F30" i="11"/>
  <c r="M18" i="67"/>
  <c r="F28" i="15"/>
  <c r="C28" i="15" s="1"/>
  <c r="F32" i="67"/>
  <c r="F60" i="67" s="1"/>
  <c r="F28" i="67"/>
  <c r="C28" i="67" s="1"/>
  <c r="F48" i="9"/>
  <c r="O52" i="9" s="1"/>
  <c r="F32" i="15"/>
  <c r="F60" i="15" s="1"/>
  <c r="F54" i="9"/>
  <c r="F30" i="68"/>
  <c r="Q16" i="1"/>
  <c r="F27" i="69" s="1"/>
  <c r="C29" i="69" s="1"/>
  <c r="D27" i="69" s="1"/>
  <c r="C6" i="15"/>
  <c r="C32" i="15" s="1"/>
  <c r="F71" i="15"/>
  <c r="Q71" i="15"/>
  <c r="M7" i="15"/>
  <c r="J6" i="15" s="1"/>
  <c r="J18" i="15" s="1"/>
  <c r="F50" i="15"/>
  <c r="F51" i="15"/>
  <c r="F64" i="15"/>
  <c r="F65" i="15"/>
  <c r="J53" i="15"/>
  <c r="L56" i="15" s="1"/>
  <c r="J57" i="15"/>
  <c r="J55" i="15" s="1"/>
  <c r="J58" i="15" s="1"/>
  <c r="Q50" i="15" s="1"/>
  <c r="I54" i="15"/>
  <c r="H16" i="1"/>
  <c r="G16" i="1"/>
  <c r="F10" i="39" s="1"/>
  <c r="S10" i="39" s="1"/>
  <c r="K28" i="80"/>
  <c r="AZ22" i="3"/>
  <c r="H28" i="80"/>
  <c r="AZ37" i="3"/>
  <c r="E11" i="6"/>
  <c r="E60" i="39" s="1"/>
  <c r="AZ32" i="3"/>
  <c r="AZ25" i="3"/>
  <c r="E10" i="6"/>
  <c r="AZ39" i="3"/>
  <c r="AZ23" i="3"/>
  <c r="G29" i="6"/>
  <c r="E29" i="6" s="1"/>
  <c r="K15" i="1" s="1"/>
  <c r="E15" i="6"/>
  <c r="E64" i="39" s="1"/>
  <c r="E26" i="43"/>
  <c r="F26" i="43"/>
  <c r="D26" i="43" s="1"/>
  <c r="C25" i="43" s="1"/>
  <c r="N370" i="46"/>
  <c r="G26" i="43"/>
  <c r="N94" i="46"/>
  <c r="J26" i="43"/>
  <c r="E12" i="6"/>
  <c r="E57" i="40" s="1"/>
  <c r="E14" i="6"/>
  <c r="E63" i="39" s="1"/>
  <c r="E13" i="6"/>
  <c r="E58" i="40" s="1"/>
  <c r="M59" i="15"/>
  <c r="L59" i="15"/>
  <c r="Q74" i="15" s="1"/>
  <c r="N59" i="15"/>
  <c r="L58" i="15"/>
  <c r="Q60" i="15" s="1"/>
  <c r="F66" i="15"/>
  <c r="F68" i="15"/>
  <c r="C27" i="15"/>
  <c r="AZ113" i="3"/>
  <c r="AZ75" i="3"/>
  <c r="C40" i="71"/>
  <c r="D39" i="71"/>
  <c r="AZ27" i="3"/>
  <c r="C56" i="71"/>
  <c r="D55" i="71"/>
  <c r="AC9" i="36"/>
  <c r="W9" i="36"/>
  <c r="AZ453" i="3"/>
  <c r="AC39" i="40"/>
  <c r="W39" i="40"/>
  <c r="C26" i="71"/>
  <c r="D26" i="71" s="1"/>
  <c r="D27" i="71"/>
  <c r="D83" i="71"/>
  <c r="C82" i="71"/>
  <c r="D82" i="71" s="1"/>
  <c r="AZ166" i="3"/>
  <c r="AZ70" i="3"/>
  <c r="AZ19" i="3"/>
  <c r="AZ52" i="3"/>
  <c r="AZ368" i="3"/>
  <c r="AZ21" i="3"/>
  <c r="AZ229" i="3"/>
  <c r="AZ150" i="3"/>
  <c r="AZ457" i="3"/>
  <c r="AZ480" i="3"/>
  <c r="W12" i="34"/>
  <c r="AC12" i="34"/>
  <c r="AZ138" i="3"/>
  <c r="AZ396" i="3"/>
  <c r="AZ464" i="3"/>
  <c r="AZ417" i="3"/>
  <c r="U12" i="36"/>
  <c r="AB12" i="36"/>
  <c r="AZ586" i="3"/>
  <c r="AB9" i="34"/>
  <c r="U9" i="34"/>
  <c r="D20" i="53"/>
  <c r="B40" i="72" s="1"/>
  <c r="G5" i="3"/>
  <c r="B3" i="3" s="1"/>
  <c r="E536" i="3" s="1"/>
  <c r="AZ66" i="3"/>
  <c r="O65" i="71"/>
  <c r="O66" i="71"/>
  <c r="D66" i="71"/>
  <c r="N67" i="71"/>
  <c r="B66" i="71"/>
  <c r="AZ84" i="3"/>
  <c r="AZ282" i="3"/>
  <c r="AZ483" i="3"/>
  <c r="AZ411" i="3"/>
  <c r="T60" i="71"/>
  <c r="D60" i="71"/>
  <c r="AZ186" i="3"/>
  <c r="AZ277" i="3"/>
  <c r="AZ241" i="3"/>
  <c r="AZ404" i="3"/>
  <c r="U33" i="36"/>
  <c r="AB33" i="36"/>
  <c r="AC23" i="36"/>
  <c r="W23" i="36"/>
  <c r="AC9" i="34"/>
  <c r="W9" i="34"/>
  <c r="D75" i="71"/>
  <c r="C74" i="71"/>
  <c r="D74" i="71" s="1"/>
  <c r="D79" i="71"/>
  <c r="C78" i="71"/>
  <c r="D78" i="71" s="1"/>
  <c r="AZ247" i="3"/>
  <c r="U12" i="34"/>
  <c r="AB12" i="34"/>
  <c r="AB36" i="35"/>
  <c r="U36" i="35"/>
  <c r="E28" i="6"/>
  <c r="K14" i="1" s="1"/>
  <c r="AZ29" i="3"/>
  <c r="AZ273" i="3"/>
  <c r="AZ239" i="3"/>
  <c r="AZ58" i="3"/>
  <c r="AZ422" i="3"/>
  <c r="S34" i="36"/>
  <c r="AA34" i="36"/>
  <c r="AB24" i="36"/>
  <c r="U24" i="36"/>
  <c r="AB23" i="36"/>
  <c r="U23" i="36"/>
  <c r="AZ80" i="3"/>
  <c r="AZ51" i="3"/>
  <c r="AZ101" i="3"/>
  <c r="AZ91" i="3"/>
  <c r="T52" i="71"/>
  <c r="D52" i="71"/>
  <c r="D31" i="71"/>
  <c r="C32" i="71"/>
  <c r="AZ251" i="3"/>
  <c r="AZ435" i="3"/>
  <c r="AZ441" i="3"/>
  <c r="AZ401" i="3"/>
  <c r="AB39" i="40"/>
  <c r="U39" i="40"/>
  <c r="AC24" i="36"/>
  <c r="W24" i="36"/>
  <c r="AA46" i="21"/>
  <c r="S46" i="2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AA7" i="36" s="1"/>
  <c r="R36" i="36" s="1"/>
  <c r="H7" i="36"/>
  <c r="U7"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56" i="40"/>
  <c r="C9" i="69"/>
  <c r="C9" i="68"/>
  <c r="E72" i="43"/>
  <c r="B70" i="43" s="1"/>
  <c r="F28" i="12"/>
  <c r="C29" i="12" s="1"/>
  <c r="D28" i="12" s="1"/>
  <c r="F31" i="6"/>
  <c r="E51" i="40"/>
  <c r="D5" i="43"/>
  <c r="C7" i="43"/>
  <c r="C5" i="43" s="1"/>
  <c r="D10" i="52"/>
  <c r="D125" i="9"/>
  <c r="D11" i="52" s="1"/>
  <c r="B7" i="74"/>
  <c r="C7" i="74" s="1"/>
  <c r="F67" i="39"/>
  <c r="E69" i="39"/>
  <c r="F59" i="67"/>
  <c r="H7" i="37"/>
  <c r="AB7" i="37" s="1"/>
  <c r="T42" i="37" s="1"/>
  <c r="G42" i="37" s="1"/>
  <c r="H7" i="33"/>
  <c r="J7" i="33"/>
  <c r="D65" i="40"/>
  <c r="E63" i="40"/>
  <c r="F48" i="35"/>
  <c r="AC7" i="37"/>
  <c r="W7" i="37"/>
  <c r="F7" i="33"/>
  <c r="E58" i="21"/>
  <c r="F7" i="37"/>
  <c r="M17" i="67"/>
  <c r="M17" i="15"/>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6" i="1"/>
  <c r="AE9" i="1"/>
  <c r="F27" i="68"/>
  <c r="AE7" i="1"/>
  <c r="AE8" i="1"/>
  <c r="AE12" i="1"/>
  <c r="AE10" i="1"/>
  <c r="C16" i="15"/>
  <c r="F41" i="67"/>
  <c r="G1" i="73"/>
  <c r="AC7" i="36" l="1"/>
  <c r="V36" i="36" s="1"/>
  <c r="I36" i="36" s="1"/>
  <c r="S7" i="36"/>
  <c r="C48" i="11"/>
  <c r="C30" i="11"/>
  <c r="F48" i="69"/>
  <c r="C48" i="69"/>
  <c r="C30" i="69"/>
  <c r="F48" i="68"/>
  <c r="C48" i="68"/>
  <c r="C30" i="68"/>
  <c r="C47" i="69"/>
  <c r="D45" i="69" s="1"/>
  <c r="F27" i="11"/>
  <c r="C29" i="11" s="1"/>
  <c r="D27" i="11" s="1"/>
  <c r="C49" i="15"/>
  <c r="F1" i="15"/>
  <c r="Q52" i="15"/>
  <c r="F45" i="69"/>
  <c r="AA10" i="39"/>
  <c r="H10" i="40"/>
  <c r="AB10" i="40" s="1"/>
  <c r="J10" i="39"/>
  <c r="W10" i="39" s="1"/>
  <c r="F10" i="40"/>
  <c r="S10" i="40" s="1"/>
  <c r="H10" i="39"/>
  <c r="U10" i="39" s="1"/>
  <c r="J10" i="40"/>
  <c r="AC10" i="40" s="1"/>
  <c r="AZ5" i="3"/>
  <c r="AY6" i="3" s="1"/>
  <c r="E62" i="39"/>
  <c r="E60" i="40"/>
  <c r="E204" i="3"/>
  <c r="E350" i="3"/>
  <c r="E316" i="3"/>
  <c r="E343" i="3"/>
  <c r="E157" i="3"/>
  <c r="E246" i="3"/>
  <c r="E263" i="3"/>
  <c r="E509" i="3"/>
  <c r="E369" i="3"/>
  <c r="E242" i="3"/>
  <c r="E489" i="3"/>
  <c r="E380" i="3"/>
  <c r="E177" i="3"/>
  <c r="E139" i="3"/>
  <c r="E118" i="3"/>
  <c r="E240" i="3"/>
  <c r="E119" i="3"/>
  <c r="E531" i="3"/>
  <c r="E270" i="3"/>
  <c r="E159" i="3"/>
  <c r="E89" i="3"/>
  <c r="E331" i="3"/>
  <c r="E564" i="3"/>
  <c r="E215" i="3"/>
  <c r="E587" i="3"/>
  <c r="E450" i="3"/>
  <c r="AB6" i="3"/>
  <c r="K6" i="3"/>
  <c r="E293" i="3"/>
  <c r="E247" i="3"/>
  <c r="E568" i="3"/>
  <c r="E382" i="3"/>
  <c r="E562" i="3"/>
  <c r="E252" i="3"/>
  <c r="E149" i="3"/>
  <c r="E148" i="3"/>
  <c r="E201" i="3"/>
  <c r="E485" i="3"/>
  <c r="E277" i="3"/>
  <c r="E508" i="3"/>
  <c r="E511" i="3"/>
  <c r="E580" i="3"/>
  <c r="E62" i="3"/>
  <c r="E56" i="3"/>
  <c r="E135" i="3"/>
  <c r="E217" i="3"/>
  <c r="E362" i="3"/>
  <c r="E301" i="3"/>
  <c r="E477" i="3"/>
  <c r="E114" i="3"/>
  <c r="E237" i="3"/>
  <c r="E445" i="3"/>
  <c r="E109" i="3"/>
  <c r="E146" i="3"/>
  <c r="E180" i="3"/>
  <c r="E478" i="3"/>
  <c r="E569" i="3"/>
  <c r="E328" i="3"/>
  <c r="E189" i="3"/>
  <c r="E273" i="3"/>
  <c r="E106" i="3"/>
  <c r="E216" i="3"/>
  <c r="E269" i="3"/>
  <c r="N6" i="3"/>
  <c r="E257" i="3"/>
  <c r="E468" i="3"/>
  <c r="E142" i="3"/>
  <c r="E100" i="3"/>
  <c r="E161" i="3"/>
  <c r="E335" i="3"/>
  <c r="E431" i="3"/>
  <c r="E572" i="3"/>
  <c r="E557" i="3"/>
  <c r="E368" i="3"/>
  <c r="E545" i="3"/>
  <c r="E134" i="3"/>
  <c r="E538" i="3"/>
  <c r="E44" i="3"/>
  <c r="E515" i="3"/>
  <c r="E457" i="3"/>
  <c r="E550" i="3"/>
  <c r="E366" i="3"/>
  <c r="E203" i="3"/>
  <c r="E523" i="3"/>
  <c r="E537" i="3"/>
  <c r="E446" i="3"/>
  <c r="E470" i="3"/>
  <c r="E131" i="3"/>
  <c r="E487" i="3"/>
  <c r="E483" i="3"/>
  <c r="X6" i="3"/>
  <c r="E535" i="3"/>
  <c r="E387" i="3"/>
  <c r="E579" i="3"/>
  <c r="E377" i="3"/>
  <c r="E345" i="3"/>
  <c r="E74" i="3"/>
  <c r="E577" i="3"/>
  <c r="E181" i="3"/>
  <c r="E91" i="3"/>
  <c r="AR6" i="3"/>
  <c r="E384" i="3"/>
  <c r="E107" i="3"/>
  <c r="E193" i="3"/>
  <c r="E260" i="3"/>
  <c r="E480" i="3"/>
  <c r="E424" i="3"/>
  <c r="E285" i="3"/>
  <c r="E288" i="3"/>
  <c r="E58" i="3"/>
  <c r="E251" i="3"/>
  <c r="E275" i="3"/>
  <c r="E385" i="3"/>
  <c r="M6" i="3"/>
  <c r="E182" i="3"/>
  <c r="E315" i="3"/>
  <c r="E406" i="3"/>
  <c r="E183" i="3"/>
  <c r="E337" i="3"/>
  <c r="E318" i="3"/>
  <c r="E314" i="3"/>
  <c r="E404" i="3"/>
  <c r="E238" i="3"/>
  <c r="E52" i="3"/>
  <c r="E172" i="3"/>
  <c r="AJ6" i="3"/>
  <c r="AO6" i="3"/>
  <c r="E77" i="3"/>
  <c r="E210" i="3"/>
  <c r="E230" i="3"/>
  <c r="E53" i="3"/>
  <c r="E127" i="3"/>
  <c r="E255" i="3"/>
  <c r="E296" i="3"/>
  <c r="AI6" i="3"/>
  <c r="E563" i="3"/>
  <c r="E570" i="3"/>
  <c r="E268" i="3"/>
  <c r="E70" i="3"/>
  <c r="Z6" i="3"/>
  <c r="E214" i="3"/>
  <c r="E472" i="3"/>
  <c r="E347" i="3"/>
  <c r="E261" i="3"/>
  <c r="E555" i="3"/>
  <c r="E162" i="3"/>
  <c r="E150" i="3"/>
  <c r="E453" i="3"/>
  <c r="E320" i="3"/>
  <c r="P6" i="3"/>
  <c r="E156" i="3"/>
  <c r="E317" i="3"/>
  <c r="E459" i="3"/>
  <c r="E234" i="3"/>
  <c r="E378" i="3"/>
  <c r="E248" i="3"/>
  <c r="E132" i="3"/>
  <c r="E423" i="3"/>
  <c r="E278" i="3"/>
  <c r="E311" i="3"/>
  <c r="E526" i="3"/>
  <c r="E28" i="3"/>
  <c r="E327" i="3"/>
  <c r="E171" i="3"/>
  <c r="E560" i="3"/>
  <c r="E124" i="3"/>
  <c r="E185" i="3"/>
  <c r="E388" i="3"/>
  <c r="AS6" i="3"/>
  <c r="E72" i="3"/>
  <c r="E336" i="3"/>
  <c r="E559" i="3"/>
  <c r="E164" i="3"/>
  <c r="E402" i="3"/>
  <c r="E547" i="3"/>
  <c r="E39" i="3"/>
  <c r="E43" i="3"/>
  <c r="E93" i="3"/>
  <c r="E464" i="3"/>
  <c r="E25" i="3"/>
  <c r="E144" i="3"/>
  <c r="K16" i="1"/>
  <c r="E94" i="3"/>
  <c r="E219" i="3"/>
  <c r="E200" i="3"/>
  <c r="E191" i="3"/>
  <c r="E69" i="3"/>
  <c r="E514" i="3"/>
  <c r="E322" i="3"/>
  <c r="E211" i="3"/>
  <c r="E400" i="3"/>
  <c r="E227" i="3"/>
  <c r="E454" i="3"/>
  <c r="E133" i="3"/>
  <c r="E399" i="3"/>
  <c r="E503" i="3"/>
  <c r="E561" i="3"/>
  <c r="E305" i="3"/>
  <c r="E447" i="3"/>
  <c r="E549" i="3"/>
  <c r="E458" i="3"/>
  <c r="E578" i="3"/>
  <c r="V6" i="3"/>
  <c r="E166" i="3"/>
  <c r="E73" i="3"/>
  <c r="E17" i="3"/>
  <c r="E71" i="3"/>
  <c r="E82" i="3"/>
  <c r="E312" i="3"/>
  <c r="E498" i="3"/>
  <c r="E228" i="3"/>
  <c r="E586" i="3"/>
  <c r="E528" i="3"/>
  <c r="E533" i="3"/>
  <c r="E175" i="3"/>
  <c r="E505" i="3"/>
  <c r="E351" i="3"/>
  <c r="E45" i="3"/>
  <c r="E290" i="3"/>
  <c r="E229" i="3"/>
  <c r="E558" i="3"/>
  <c r="E481" i="3"/>
  <c r="E321" i="3"/>
  <c r="U6" i="3"/>
  <c r="E488" i="3"/>
  <c r="E101" i="3"/>
  <c r="E83" i="3"/>
  <c r="E31" i="3"/>
  <c r="E571" i="3"/>
  <c r="E99" i="3"/>
  <c r="E518" i="3"/>
  <c r="E395" i="3"/>
  <c r="E151" i="3"/>
  <c r="E30" i="3"/>
  <c r="E448" i="3"/>
  <c r="E429" i="3"/>
  <c r="E353" i="3"/>
  <c r="E506" i="3"/>
  <c r="E272" i="3"/>
  <c r="E168" i="3"/>
  <c r="E413" i="3"/>
  <c r="E354" i="3"/>
  <c r="E123" i="3"/>
  <c r="E376" i="3"/>
  <c r="E300" i="3"/>
  <c r="E231" i="3"/>
  <c r="E143" i="3"/>
  <c r="E530" i="3"/>
  <c r="E27" i="3"/>
  <c r="E585" i="3"/>
  <c r="E279" i="3"/>
  <c r="E527" i="3"/>
  <c r="E85" i="3"/>
  <c r="E245" i="3"/>
  <c r="E294" i="3"/>
  <c r="E516" i="3"/>
  <c r="E121" i="3"/>
  <c r="I6" i="3"/>
  <c r="Q6" i="3"/>
  <c r="E302" i="3"/>
  <c r="E359" i="3"/>
  <c r="E432" i="3"/>
  <c r="E529" i="3"/>
  <c r="E259" i="3"/>
  <c r="E386" i="3"/>
  <c r="E79" i="3"/>
  <c r="E35" i="3"/>
  <c r="E465" i="3"/>
  <c r="AK6" i="3"/>
  <c r="E495" i="3"/>
  <c r="E361" i="3"/>
  <c r="E439" i="3"/>
  <c r="E410" i="3"/>
  <c r="E441" i="3"/>
  <c r="E476" i="3"/>
  <c r="E271" i="3"/>
  <c r="E111" i="3"/>
  <c r="E573" i="3"/>
  <c r="E583" i="3"/>
  <c r="E117" i="3"/>
  <c r="E407" i="3"/>
  <c r="E553" i="3"/>
  <c r="E444" i="3"/>
  <c r="E394" i="3"/>
  <c r="E128" i="3"/>
  <c r="E304" i="3"/>
  <c r="E319" i="3"/>
  <c r="E145" i="3"/>
  <c r="E352" i="3"/>
  <c r="E584" i="3"/>
  <c r="E552" i="3"/>
  <c r="E276" i="3"/>
  <c r="E13" i="3"/>
  <c r="E415" i="3"/>
  <c r="E551" i="3"/>
  <c r="E239" i="3"/>
  <c r="E334" i="3"/>
  <c r="E581" i="3"/>
  <c r="E236" i="3"/>
  <c r="E55" i="3"/>
  <c r="E120" i="3"/>
  <c r="E303" i="3"/>
  <c r="E169" i="3"/>
  <c r="O6" i="3"/>
  <c r="E92" i="3"/>
  <c r="E207" i="3"/>
  <c r="E438" i="3"/>
  <c r="E504" i="3"/>
  <c r="E341" i="3"/>
  <c r="E416" i="3"/>
  <c r="E265" i="3"/>
  <c r="E15" i="3"/>
  <c r="E422" i="3"/>
  <c r="E456" i="3"/>
  <c r="E186" i="3"/>
  <c r="E414" i="3"/>
  <c r="E567" i="3"/>
  <c r="E433" i="3"/>
  <c r="E519" i="3"/>
  <c r="E253" i="3"/>
  <c r="E61" i="3"/>
  <c r="E130" i="3"/>
  <c r="E358" i="3"/>
  <c r="E282" i="3"/>
  <c r="E295" i="3"/>
  <c r="E443" i="3"/>
  <c r="E32" i="3"/>
  <c r="AE6" i="3"/>
  <c r="E434" i="3"/>
  <c r="E254" i="3"/>
  <c r="E338" i="3"/>
  <c r="E153" i="3"/>
  <c r="E403" i="3"/>
  <c r="E357" i="3"/>
  <c r="E313" i="3"/>
  <c r="E154" i="3"/>
  <c r="E375" i="3"/>
  <c r="E51" i="3"/>
  <c r="E289" i="3"/>
  <c r="E372" i="3"/>
  <c r="E393" i="3"/>
  <c r="E96" i="3"/>
  <c r="E396" i="3"/>
  <c r="E125" i="3"/>
  <c r="E88" i="3"/>
  <c r="AG6" i="3"/>
  <c r="E256" i="3"/>
  <c r="E437" i="3"/>
  <c r="E280" i="3"/>
  <c r="E565" i="3"/>
  <c r="E390" i="3"/>
  <c r="AM6" i="3"/>
  <c r="E411" i="3"/>
  <c r="E54" i="3"/>
  <c r="E136" i="3"/>
  <c r="E66" i="3"/>
  <c r="E284" i="3"/>
  <c r="E566" i="3"/>
  <c r="E325" i="3"/>
  <c r="E463" i="3"/>
  <c r="E220" i="3"/>
  <c r="E484" i="3"/>
  <c r="G30" i="6"/>
  <c r="G31" i="6" s="1"/>
  <c r="E496" i="3"/>
  <c r="E330" i="3"/>
  <c r="AA6" i="3"/>
  <c r="E221" i="3"/>
  <c r="E298" i="3"/>
  <c r="E97" i="3"/>
  <c r="E501" i="3"/>
  <c r="E126" i="3"/>
  <c r="E548" i="3"/>
  <c r="E14" i="3"/>
  <c r="W6" i="3"/>
  <c r="E306" i="3"/>
  <c r="E187" i="3"/>
  <c r="E163" i="3"/>
  <c r="E436" i="3"/>
  <c r="E57" i="3"/>
  <c r="E155" i="3"/>
  <c r="E50" i="3"/>
  <c r="E137" i="3"/>
  <c r="E202" i="3"/>
  <c r="E486" i="3"/>
  <c r="E243" i="3"/>
  <c r="E281" i="3"/>
  <c r="E499" i="3"/>
  <c r="E576" i="3"/>
  <c r="E274" i="3"/>
  <c r="E344" i="3"/>
  <c r="E262" i="3"/>
  <c r="AN6" i="3"/>
  <c r="E213" i="3"/>
  <c r="E418" i="3"/>
  <c r="E574" i="3"/>
  <c r="E29" i="3"/>
  <c r="E546" i="3"/>
  <c r="E379" i="3"/>
  <c r="E208" i="3"/>
  <c r="E474" i="3"/>
  <c r="E461" i="3"/>
  <c r="E87" i="3"/>
  <c r="E542" i="3"/>
  <c r="E19" i="3"/>
  <c r="E244" i="3"/>
  <c r="E141" i="3"/>
  <c r="E112" i="3"/>
  <c r="E473" i="3"/>
  <c r="E401" i="3"/>
  <c r="E105" i="3"/>
  <c r="E497" i="3"/>
  <c r="E249" i="3"/>
  <c r="S6" i="3"/>
  <c r="E426" i="3"/>
  <c r="E291" i="3"/>
  <c r="E367" i="3"/>
  <c r="E196" i="3"/>
  <c r="E471" i="3"/>
  <c r="E224" i="3"/>
  <c r="E98" i="3"/>
  <c r="E179" i="3"/>
  <c r="E47" i="3"/>
  <c r="E138" i="3"/>
  <c r="E521" i="3"/>
  <c r="E176" i="3"/>
  <c r="E299" i="3"/>
  <c r="E346" i="3"/>
  <c r="E440" i="3"/>
  <c r="E324" i="3"/>
  <c r="E129" i="3"/>
  <c r="I3" i="6"/>
  <c r="E520" i="3"/>
  <c r="E250" i="3"/>
  <c r="E90" i="3"/>
  <c r="E524" i="3"/>
  <c r="E364" i="3"/>
  <c r="AQ6" i="3"/>
  <c r="E170" i="3"/>
  <c r="E60" i="3"/>
  <c r="E178" i="3"/>
  <c r="J6" i="3"/>
  <c r="E427" i="3"/>
  <c r="E326" i="3"/>
  <c r="E225" i="3"/>
  <c r="E140" i="3"/>
  <c r="E264" i="3"/>
  <c r="E363" i="3"/>
  <c r="E510" i="3"/>
  <c r="AD6" i="3"/>
  <c r="E374" i="3"/>
  <c r="E297" i="3"/>
  <c r="E48" i="3"/>
  <c r="E500" i="3"/>
  <c r="E24" i="3"/>
  <c r="E460" i="3"/>
  <c r="E365" i="3"/>
  <c r="E340" i="3"/>
  <c r="E392" i="3"/>
  <c r="E38" i="3"/>
  <c r="L6" i="3"/>
  <c r="E108" i="3"/>
  <c r="AH6" i="3"/>
  <c r="E543" i="3"/>
  <c r="E158" i="3"/>
  <c r="E115" i="3"/>
  <c r="E205" i="3"/>
  <c r="E81" i="3"/>
  <c r="E292" i="3"/>
  <c r="E397" i="3"/>
  <c r="E475" i="3"/>
  <c r="E532" i="3"/>
  <c r="E122" i="3"/>
  <c r="E167" i="3"/>
  <c r="Y6" i="3"/>
  <c r="E373" i="3"/>
  <c r="E582" i="3"/>
  <c r="E209" i="3"/>
  <c r="E421" i="3"/>
  <c r="E65" i="3"/>
  <c r="E398" i="3"/>
  <c r="E218" i="3"/>
  <c r="E147" i="3"/>
  <c r="E339" i="3"/>
  <c r="E455" i="3"/>
  <c r="E333" i="3"/>
  <c r="E40" i="3"/>
  <c r="E490" i="3"/>
  <c r="E493" i="3"/>
  <c r="E342" i="3"/>
  <c r="E452" i="3"/>
  <c r="E206" i="3"/>
  <c r="E33" i="3"/>
  <c r="E479" i="3"/>
  <c r="E307" i="3"/>
  <c r="E195" i="3"/>
  <c r="E462" i="3"/>
  <c r="E266" i="3"/>
  <c r="E323" i="3"/>
  <c r="E110" i="3"/>
  <c r="E222" i="3"/>
  <c r="E348" i="3"/>
  <c r="E165" i="3"/>
  <c r="E20" i="3"/>
  <c r="E36" i="3"/>
  <c r="E194" i="3"/>
  <c r="E540" i="3"/>
  <c r="E226" i="3"/>
  <c r="E419" i="3"/>
  <c r="E507" i="3"/>
  <c r="E329" i="3"/>
  <c r="E356" i="3"/>
  <c r="E469" i="3"/>
  <c r="E332" i="3"/>
  <c r="E425" i="3"/>
  <c r="R6" i="3"/>
  <c r="E16" i="6"/>
  <c r="E61" i="39"/>
  <c r="E65" i="39" s="1"/>
  <c r="Q73" i="15"/>
  <c r="E59" i="40"/>
  <c r="M14" i="1"/>
  <c r="O14" i="1" s="1"/>
  <c r="O16" i="1" s="1"/>
  <c r="J5" i="15"/>
  <c r="J24" i="15" s="1"/>
  <c r="Q61" i="15"/>
  <c r="AB7" i="36"/>
  <c r="T36" i="36" s="1"/>
  <c r="G36" i="36" s="1"/>
  <c r="G41" i="36" s="1"/>
  <c r="H41" i="36" s="1"/>
  <c r="E512" i="3"/>
  <c r="E197" i="3"/>
  <c r="AF6" i="3"/>
  <c r="E174" i="3"/>
  <c r="E391" i="3"/>
  <c r="E283" i="3"/>
  <c r="E184" i="3"/>
  <c r="E371" i="3"/>
  <c r="E467" i="3"/>
  <c r="E349" i="3"/>
  <c r="E37" i="3"/>
  <c r="AP6" i="3"/>
  <c r="E502" i="3"/>
  <c r="E539" i="3"/>
  <c r="D56" i="71"/>
  <c r="T56" i="71"/>
  <c r="E405" i="3"/>
  <c r="E22" i="3"/>
  <c r="E34" i="3"/>
  <c r="E18" i="3"/>
  <c r="E198" i="3"/>
  <c r="E63" i="3"/>
  <c r="E67" i="3"/>
  <c r="E267" i="3"/>
  <c r="E409" i="3"/>
  <c r="E241" i="3"/>
  <c r="E417" i="3"/>
  <c r="E449" i="3"/>
  <c r="E575" i="3"/>
  <c r="N65" i="71"/>
  <c r="N66" i="71"/>
  <c r="E116" i="3"/>
  <c r="E80" i="3"/>
  <c r="E190" i="3"/>
  <c r="E41" i="3"/>
  <c r="E556" i="3"/>
  <c r="T6" i="3"/>
  <c r="E308" i="3"/>
  <c r="E86" i="3"/>
  <c r="E482" i="3"/>
  <c r="E494" i="3"/>
  <c r="E68" i="3"/>
  <c r="E84" i="3"/>
  <c r="E160" i="3"/>
  <c r="E59" i="3"/>
  <c r="E258" i="3"/>
  <c r="E491" i="3"/>
  <c r="E430" i="3"/>
  <c r="E286" i="3"/>
  <c r="E223" i="3"/>
  <c r="E370" i="3"/>
  <c r="E78" i="3"/>
  <c r="E104" i="3"/>
  <c r="E360" i="3"/>
  <c r="E534" i="3"/>
  <c r="E287" i="3"/>
  <c r="E522" i="3"/>
  <c r="E75" i="3"/>
  <c r="E21" i="3"/>
  <c r="E381" i="3"/>
  <c r="E23" i="3"/>
  <c r="E103" i="3"/>
  <c r="E76" i="3"/>
  <c r="E192" i="3"/>
  <c r="E435" i="3"/>
  <c r="E541" i="3"/>
  <c r="E199" i="3"/>
  <c r="T32" i="71"/>
  <c r="D32" i="71"/>
  <c r="T40" i="71"/>
  <c r="D40" i="71"/>
  <c r="E188" i="3"/>
  <c r="E232" i="3"/>
  <c r="E412" i="3"/>
  <c r="E26" i="3"/>
  <c r="E451" i="3"/>
  <c r="E525" i="3"/>
  <c r="E113" i="3"/>
  <c r="E383" i="3"/>
  <c r="E42" i="3"/>
  <c r="E513" i="3"/>
  <c r="E355" i="3"/>
  <c r="E492" i="3"/>
  <c r="E46" i="3"/>
  <c r="E544" i="3"/>
  <c r="E152" i="3"/>
  <c r="E517" i="3"/>
  <c r="E466" i="3"/>
  <c r="E212" i="3"/>
  <c r="E16" i="3"/>
  <c r="E49" i="3"/>
  <c r="E428" i="3"/>
  <c r="E420" i="3"/>
  <c r="E408" i="3"/>
  <c r="E173" i="3"/>
  <c r="E102" i="3"/>
  <c r="E235" i="3"/>
  <c r="AL6" i="3"/>
  <c r="E309" i="3"/>
  <c r="E233" i="3"/>
  <c r="E310" i="3"/>
  <c r="E64" i="3"/>
  <c r="E389" i="3"/>
  <c r="E95" i="3"/>
  <c r="E554" i="3"/>
  <c r="E442" i="3"/>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C39" i="43"/>
  <c r="C42" i="43"/>
  <c r="E42" i="43" s="1"/>
  <c r="C38" i="43"/>
  <c r="AB10" i="39"/>
  <c r="AA10" i="40"/>
  <c r="U10" i="40"/>
  <c r="AC10" i="39"/>
  <c r="U7" i="37"/>
  <c r="G67" i="39"/>
  <c r="F69" i="39"/>
  <c r="I53" i="34"/>
  <c r="J53" i="34" s="1"/>
  <c r="F58" i="21"/>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6" i="37"/>
  <c r="H46" i="37" s="1"/>
  <c r="G47" i="37"/>
  <c r="H47" i="37" s="1"/>
  <c r="I46" i="37"/>
  <c r="J46" i="37" s="1"/>
  <c r="G48" i="35"/>
  <c r="U7" i="33"/>
  <c r="AB7" i="33"/>
  <c r="T48" i="33" s="1"/>
  <c r="G48" i="33" s="1"/>
  <c r="J24" i="67"/>
  <c r="C53" i="67"/>
  <c r="C48" i="67" s="1"/>
  <c r="C10" i="67"/>
  <c r="C5" i="67" s="1"/>
  <c r="C38" i="67" s="1"/>
  <c r="C53" i="15"/>
  <c r="C10" i="15"/>
  <c r="C5" i="15" s="1"/>
  <c r="C38" i="15" s="1"/>
  <c r="M27" i="15"/>
  <c r="M27" i="67"/>
  <c r="F41" i="15"/>
  <c r="R37" i="36" l="1"/>
  <c r="W10" i="40"/>
  <c r="C48" i="15"/>
  <c r="C66" i="15" s="1"/>
  <c r="E3" i="6"/>
  <c r="D3" i="33" s="1"/>
  <c r="AY209" i="3"/>
  <c r="AY133" i="3"/>
  <c r="BQ6" i="3"/>
  <c r="AY36" i="3"/>
  <c r="BN6" i="3"/>
  <c r="AY20" i="3"/>
  <c r="AY419" i="3"/>
  <c r="AY453" i="3"/>
  <c r="AY376" i="3"/>
  <c r="AY323" i="3"/>
  <c r="AY548" i="3"/>
  <c r="AY22" i="3"/>
  <c r="AY434" i="3"/>
  <c r="AY315" i="3"/>
  <c r="AY566" i="3"/>
  <c r="AY441" i="3"/>
  <c r="AY283" i="3"/>
  <c r="AY534" i="3"/>
  <c r="AY302" i="3"/>
  <c r="AY556" i="3"/>
  <c r="AY173" i="3"/>
  <c r="AY584" i="3"/>
  <c r="AY410" i="3"/>
  <c r="AY466" i="3"/>
  <c r="AY459" i="3"/>
  <c r="AY563" i="3"/>
  <c r="AY375" i="3"/>
  <c r="AY402" i="3"/>
  <c r="AY500" i="3"/>
  <c r="AY529" i="3"/>
  <c r="AY230" i="3"/>
  <c r="AY501" i="3"/>
  <c r="AY389" i="3"/>
  <c r="AY112" i="3"/>
  <c r="AY270" i="3"/>
  <c r="AY80" i="3"/>
  <c r="AY499" i="3"/>
  <c r="AY405" i="3"/>
  <c r="AY504" i="3"/>
  <c r="AY30" i="3"/>
  <c r="AY432" i="3"/>
  <c r="AY538" i="3"/>
  <c r="AY71" i="3"/>
  <c r="AY260" i="3"/>
  <c r="AY397" i="3"/>
  <c r="AY90" i="3"/>
  <c r="BS6" i="3"/>
  <c r="AY455" i="3"/>
  <c r="AY227" i="3"/>
  <c r="AY169" i="3"/>
  <c r="AY502" i="3"/>
  <c r="AY587" i="3"/>
  <c r="AY235" i="3"/>
  <c r="AY296" i="3"/>
  <c r="AY583" i="3"/>
  <c r="BP6" i="3"/>
  <c r="AY164" i="3"/>
  <c r="AY268" i="3"/>
  <c r="AY353" i="3"/>
  <c r="AY454" i="3"/>
  <c r="AY324" i="3"/>
  <c r="AY187" i="3"/>
  <c r="AY492" i="3"/>
  <c r="AY250" i="3"/>
  <c r="AY477" i="3"/>
  <c r="AY335" i="3"/>
  <c r="AY61" i="3"/>
  <c r="AY348" i="3"/>
  <c r="AY562" i="3"/>
  <c r="AY435" i="3"/>
  <c r="AY539" i="3"/>
  <c r="AY480" i="3"/>
  <c r="AY484" i="3"/>
  <c r="AY167" i="3"/>
  <c r="AY431" i="3"/>
  <c r="AY39" i="3"/>
  <c r="AY445" i="3"/>
  <c r="AY521" i="3"/>
  <c r="AY188" i="3"/>
  <c r="AY420" i="3"/>
  <c r="AY166" i="3"/>
  <c r="AY244" i="3"/>
  <c r="AY93" i="3"/>
  <c r="AY497" i="3"/>
  <c r="AY507" i="3"/>
  <c r="AY129" i="3"/>
  <c r="AY78" i="3"/>
  <c r="AY86" i="3"/>
  <c r="AY321" i="3"/>
  <c r="AY216" i="3"/>
  <c r="AY174" i="3"/>
  <c r="AY79" i="3"/>
  <c r="AY143" i="3"/>
  <c r="AY297" i="3"/>
  <c r="AY549" i="3"/>
  <c r="AY295" i="3"/>
  <c r="AY355" i="3"/>
  <c r="AY279" i="3"/>
  <c r="AY116" i="3"/>
  <c r="AY341" i="3"/>
  <c r="AY282" i="3"/>
  <c r="AY35" i="3"/>
  <c r="AY27" i="3"/>
  <c r="AY304" i="3"/>
  <c r="AY528" i="3"/>
  <c r="AY153" i="3"/>
  <c r="AY151" i="3"/>
  <c r="AY240" i="3"/>
  <c r="AY97" i="3"/>
  <c r="AY481" i="3"/>
  <c r="AY212" i="3"/>
  <c r="AY369" i="3"/>
  <c r="AY213" i="3"/>
  <c r="AY102" i="3"/>
  <c r="AY394" i="3"/>
  <c r="AY367" i="3"/>
  <c r="AY359" i="3"/>
  <c r="AY207" i="3"/>
  <c r="AY59" i="3"/>
  <c r="AY371" i="3"/>
  <c r="AY284" i="3"/>
  <c r="AY300" i="3"/>
  <c r="AY401" i="3"/>
  <c r="AY76" i="3"/>
  <c r="AY125" i="3"/>
  <c r="AY374" i="3"/>
  <c r="AY145" i="3"/>
  <c r="AY316" i="3"/>
  <c r="AY585" i="3"/>
  <c r="AY75" i="3"/>
  <c r="AY404" i="3"/>
  <c r="AY126" i="3"/>
  <c r="AY150" i="3"/>
  <c r="AY525" i="3"/>
  <c r="AY191" i="3"/>
  <c r="AY343" i="3"/>
  <c r="AY193" i="3"/>
  <c r="AY88" i="3"/>
  <c r="AY438" i="3"/>
  <c r="AY96" i="3"/>
  <c r="AY223" i="3"/>
  <c r="AY442" i="3"/>
  <c r="BR6" i="3"/>
  <c r="AY127" i="3"/>
  <c r="AY424" i="3"/>
  <c r="AY179" i="3"/>
  <c r="AY306" i="3"/>
  <c r="AY122" i="3"/>
  <c r="AY418" i="3"/>
  <c r="AY110" i="3"/>
  <c r="AY330" i="3"/>
  <c r="AY175" i="3"/>
  <c r="AY413" i="3"/>
  <c r="AY396" i="3"/>
  <c r="AY505" i="3"/>
  <c r="AY19" i="3"/>
  <c r="AY408" i="3"/>
  <c r="AY257" i="3"/>
  <c r="BT6" i="3"/>
  <c r="AY83" i="3"/>
  <c r="AY131" i="3"/>
  <c r="AY103" i="3"/>
  <c r="AY319" i="3"/>
  <c r="AY217" i="3"/>
  <c r="AY544" i="3"/>
  <c r="AY33" i="3"/>
  <c r="AY278" i="3"/>
  <c r="BH6" i="3"/>
  <c r="AY259" i="3"/>
  <c r="AY472" i="3"/>
  <c r="AY571" i="3"/>
  <c r="AY486" i="3"/>
  <c r="BO6" i="3"/>
  <c r="AY239" i="3"/>
  <c r="AY226" i="3"/>
  <c r="AY518" i="3"/>
  <c r="AY147" i="3"/>
  <c r="AY417" i="3"/>
  <c r="AY134" i="3"/>
  <c r="AY161" i="3"/>
  <c r="AY580" i="3"/>
  <c r="AY37" i="3"/>
  <c r="AY345" i="3"/>
  <c r="AY423" i="3"/>
  <c r="BA6" i="3"/>
  <c r="AY264" i="3"/>
  <c r="AY517" i="3"/>
  <c r="AY119" i="3"/>
  <c r="AY416" i="3"/>
  <c r="AY385" i="3"/>
  <c r="AY399" i="3"/>
  <c r="AY203" i="3"/>
  <c r="AY421" i="3"/>
  <c r="AY288" i="3"/>
  <c r="AY567" i="3"/>
  <c r="AY305" i="3"/>
  <c r="AY522" i="3"/>
  <c r="AY301" i="3"/>
  <c r="AY568" i="3"/>
  <c r="AY386" i="3"/>
  <c r="AY66" i="3"/>
  <c r="AY372" i="3"/>
  <c r="AY190" i="3"/>
  <c r="AY247" i="3"/>
  <c r="AY109" i="3"/>
  <c r="AY242" i="3"/>
  <c r="AY495" i="3"/>
  <c r="AY425" i="3"/>
  <c r="AY89" i="3"/>
  <c r="AY222" i="3"/>
  <c r="AY356" i="3"/>
  <c r="AY350" i="3"/>
  <c r="AY573" i="3"/>
  <c r="AY286" i="3"/>
  <c r="AY275" i="3"/>
  <c r="AY536" i="3"/>
  <c r="AY189" i="3"/>
  <c r="AY313" i="3"/>
  <c r="AY579" i="3"/>
  <c r="AY221" i="3"/>
  <c r="AY512" i="3"/>
  <c r="AY273" i="3"/>
  <c r="AY550" i="3"/>
  <c r="AY352" i="3"/>
  <c r="AY564" i="3"/>
  <c r="AY140" i="3"/>
  <c r="AY13" i="3"/>
  <c r="AY64" i="3"/>
  <c r="AY320" i="3"/>
  <c r="AY551" i="3"/>
  <c r="AY265" i="3"/>
  <c r="AY107" i="3"/>
  <c r="AY307" i="3"/>
  <c r="AY23" i="3"/>
  <c r="AY58" i="3"/>
  <c r="AY160" i="3"/>
  <c r="AY460" i="3"/>
  <c r="BE6" i="3"/>
  <c r="AY185" i="3"/>
  <c r="AY262" i="3"/>
  <c r="AY73" i="3"/>
  <c r="AY388" i="3"/>
  <c r="AY430" i="3"/>
  <c r="BG6" i="3"/>
  <c r="AY276" i="3"/>
  <c r="AY50" i="3"/>
  <c r="AY473" i="3"/>
  <c r="AY533" i="3"/>
  <c r="AY462" i="3"/>
  <c r="AY508" i="3"/>
  <c r="AY94" i="3"/>
  <c r="AY208" i="3"/>
  <c r="AY411" i="3"/>
  <c r="AY202" i="3"/>
  <c r="AY165" i="3"/>
  <c r="AY463" i="3"/>
  <c r="AY261" i="3"/>
  <c r="AY115" i="3"/>
  <c r="AY200" i="3"/>
  <c r="AY62" i="3"/>
  <c r="AY479" i="3"/>
  <c r="AY474" i="3"/>
  <c r="AY482" i="3"/>
  <c r="AY537" i="3"/>
  <c r="AY205" i="3"/>
  <c r="AY256" i="3"/>
  <c r="AY314" i="3"/>
  <c r="AY531" i="3"/>
  <c r="AY487" i="3"/>
  <c r="AY519" i="3"/>
  <c r="AY215" i="3"/>
  <c r="AY84" i="3"/>
  <c r="AY31" i="3"/>
  <c r="AY467" i="3"/>
  <c r="AY146" i="3"/>
  <c r="AY199" i="3"/>
  <c r="AY398" i="3"/>
  <c r="AY56" i="3"/>
  <c r="AY154" i="3"/>
  <c r="AY310" i="3"/>
  <c r="AY183" i="3"/>
  <c r="AY155" i="3"/>
  <c r="AY361" i="3"/>
  <c r="AY339" i="3"/>
  <c r="AY347" i="3"/>
  <c r="AY575" i="3"/>
  <c r="AY498" i="3"/>
  <c r="AY159" i="3"/>
  <c r="AY331" i="3"/>
  <c r="AY509" i="3"/>
  <c r="AY328" i="3"/>
  <c r="AY514" i="3"/>
  <c r="AY29" i="3"/>
  <c r="AY100" i="3"/>
  <c r="AY49" i="3"/>
  <c r="AY340" i="3"/>
  <c r="AY182" i="3"/>
  <c r="AY387" i="3"/>
  <c r="AY475" i="3"/>
  <c r="AY360" i="3"/>
  <c r="AY44" i="3"/>
  <c r="AY327" i="3"/>
  <c r="AY289" i="3"/>
  <c r="AY176" i="3"/>
  <c r="AY443" i="3"/>
  <c r="AY451" i="3"/>
  <c r="AY545" i="3"/>
  <c r="AY113" i="3"/>
  <c r="AY136" i="3"/>
  <c r="AY233" i="3"/>
  <c r="AY461" i="3"/>
  <c r="BC6" i="3"/>
  <c r="AY70" i="3"/>
  <c r="AY280" i="3"/>
  <c r="D3" i="6"/>
  <c r="D15" i="6" s="1"/>
  <c r="AY266" i="3"/>
  <c r="AY552" i="3"/>
  <c r="AY373" i="3"/>
  <c r="AY478" i="3"/>
  <c r="AY577" i="3"/>
  <c r="AY40" i="3"/>
  <c r="AY53" i="3"/>
  <c r="AY18" i="3"/>
  <c r="AY333" i="3"/>
  <c r="AY219" i="3"/>
  <c r="AY92" i="3"/>
  <c r="AY26" i="3"/>
  <c r="AY225" i="3"/>
  <c r="AY351" i="3"/>
  <c r="AY54" i="3"/>
  <c r="AY485" i="3"/>
  <c r="AY172" i="3"/>
  <c r="AY515" i="3"/>
  <c r="AY476" i="3"/>
  <c r="AY267" i="3"/>
  <c r="AY15" i="3"/>
  <c r="AY272" i="3"/>
  <c r="AY576" i="3"/>
  <c r="AY383" i="3"/>
  <c r="AY47" i="3"/>
  <c r="AY17" i="3"/>
  <c r="AY336" i="3"/>
  <c r="AY142" i="3"/>
  <c r="BD6" i="3"/>
  <c r="AY338" i="3"/>
  <c r="AY241" i="3"/>
  <c r="AY184" i="3"/>
  <c r="BL6" i="3"/>
  <c r="AY456" i="3"/>
  <c r="AY378" i="3"/>
  <c r="AY135" i="3"/>
  <c r="AY63" i="3"/>
  <c r="AY542" i="3"/>
  <c r="AY506" i="3"/>
  <c r="AY458" i="3"/>
  <c r="AY344" i="3"/>
  <c r="AY234" i="3"/>
  <c r="AY158" i="3"/>
  <c r="AY101" i="3"/>
  <c r="AY520" i="3"/>
  <c r="AY449" i="3"/>
  <c r="AY258" i="3"/>
  <c r="BB6" i="3"/>
  <c r="AY255" i="3"/>
  <c r="AY198" i="3"/>
  <c r="AY540" i="3"/>
  <c r="AY379" i="3"/>
  <c r="AY489" i="3"/>
  <c r="AY82" i="3"/>
  <c r="AY532" i="3"/>
  <c r="AY403" i="3"/>
  <c r="AY325" i="3"/>
  <c r="AY186" i="3"/>
  <c r="AY211" i="3"/>
  <c r="AY157" i="3"/>
  <c r="AY85" i="3"/>
  <c r="AY447" i="3"/>
  <c r="AY526" i="3"/>
  <c r="AY163" i="3"/>
  <c r="AY510" i="3"/>
  <c r="BM6" i="3"/>
  <c r="AY446" i="3"/>
  <c r="AY332" i="3"/>
  <c r="AY210" i="3"/>
  <c r="AY177" i="3"/>
  <c r="AY104" i="3"/>
  <c r="AY381" i="3"/>
  <c r="AY231" i="3"/>
  <c r="AY118" i="3"/>
  <c r="AY201" i="3"/>
  <c r="AY45" i="3"/>
  <c r="AY541" i="3"/>
  <c r="AY433" i="3"/>
  <c r="AY358" i="3"/>
  <c r="AY180" i="3"/>
  <c r="AY470" i="3"/>
  <c r="AY204" i="3"/>
  <c r="AY196" i="3"/>
  <c r="AY382" i="3"/>
  <c r="AY111" i="3"/>
  <c r="AY95" i="3"/>
  <c r="AY34" i="3"/>
  <c r="AY32" i="3"/>
  <c r="AY429" i="3"/>
  <c r="AY354" i="3"/>
  <c r="AY277" i="3"/>
  <c r="AY38" i="3"/>
  <c r="AY560" i="3"/>
  <c r="AY469" i="3"/>
  <c r="AY232" i="3"/>
  <c r="AY156" i="3"/>
  <c r="AY99" i="3"/>
  <c r="AY565" i="3"/>
  <c r="AY407" i="3"/>
  <c r="AY468" i="3"/>
  <c r="AY329" i="3"/>
  <c r="AY251" i="3"/>
  <c r="AY194" i="3"/>
  <c r="AY582" i="3"/>
  <c r="AY572" i="3"/>
  <c r="AY483" i="3"/>
  <c r="AY121" i="3"/>
  <c r="AY368" i="3"/>
  <c r="AY291" i="3"/>
  <c r="AY52" i="3"/>
  <c r="AY557" i="3"/>
  <c r="AY229" i="3"/>
  <c r="AY220" i="3"/>
  <c r="AY81" i="3"/>
  <c r="AY559" i="3"/>
  <c r="AY422" i="3"/>
  <c r="AY393" i="3"/>
  <c r="AY57" i="3"/>
  <c r="AY254" i="3"/>
  <c r="AY178" i="3"/>
  <c r="AY555" i="3"/>
  <c r="AY311" i="3"/>
  <c r="AY444" i="3"/>
  <c r="AY171" i="3"/>
  <c r="AY546" i="3"/>
  <c r="AY581" i="3"/>
  <c r="AY457" i="3"/>
  <c r="AY317" i="3"/>
  <c r="AY274" i="3"/>
  <c r="AY197" i="3"/>
  <c r="BJ6" i="3"/>
  <c r="AY392" i="3"/>
  <c r="AY263" i="3"/>
  <c r="AY149" i="3"/>
  <c r="AY206" i="3"/>
  <c r="AY77" i="3"/>
  <c r="AY569" i="3"/>
  <c r="AY452" i="3"/>
  <c r="AY395" i="3"/>
  <c r="AY106" i="3"/>
  <c r="AY318" i="3"/>
  <c r="AY123" i="3"/>
  <c r="AY67" i="3"/>
  <c r="AY236" i="3"/>
  <c r="AY281" i="3"/>
  <c r="AY124" i="3"/>
  <c r="AY51" i="3"/>
  <c r="AY400" i="3"/>
  <c r="AY293" i="3"/>
  <c r="AY547" i="3"/>
  <c r="AY248" i="3"/>
  <c r="AY493" i="3"/>
  <c r="AY415" i="3"/>
  <c r="AY337" i="3"/>
  <c r="AY21" i="3"/>
  <c r="AY322" i="3"/>
  <c r="AY195" i="3"/>
  <c r="AY440" i="3"/>
  <c r="AY120" i="3"/>
  <c r="AY530" i="3"/>
  <c r="AY450" i="3"/>
  <c r="AY218" i="3"/>
  <c r="AY586" i="3"/>
  <c r="AY448" i="3"/>
  <c r="AY391" i="3"/>
  <c r="AY128" i="3"/>
  <c r="AY55" i="3"/>
  <c r="AY558" i="3"/>
  <c r="AY346" i="3"/>
  <c r="AY249" i="3"/>
  <c r="AY192" i="3"/>
  <c r="AY578" i="3"/>
  <c r="AY524" i="3"/>
  <c r="AY439" i="3"/>
  <c r="AY471" i="3"/>
  <c r="AY364" i="3"/>
  <c r="AY287" i="3"/>
  <c r="AY48" i="3"/>
  <c r="AY494" i="3"/>
  <c r="AY503" i="3"/>
  <c r="AY309" i="3"/>
  <c r="AY181" i="3"/>
  <c r="AY384" i="3"/>
  <c r="AY141" i="3"/>
  <c r="AY69" i="3"/>
  <c r="AY436" i="3"/>
  <c r="AY43" i="3"/>
  <c r="AY292" i="3"/>
  <c r="AY523" i="3"/>
  <c r="AY527" i="3"/>
  <c r="AY464" i="3"/>
  <c r="AY243" i="3"/>
  <c r="BI6" i="3"/>
  <c r="AY271" i="3"/>
  <c r="AY25" i="3"/>
  <c r="AY574" i="3"/>
  <c r="AY390" i="3"/>
  <c r="AY334" i="3"/>
  <c r="AY98" i="3"/>
  <c r="BF6" i="3"/>
  <c r="AY427" i="3"/>
  <c r="AY488" i="3"/>
  <c r="AY349" i="3"/>
  <c r="AY290" i="3"/>
  <c r="AY24" i="3"/>
  <c r="AY554" i="3"/>
  <c r="AY214" i="3"/>
  <c r="AY294" i="3"/>
  <c r="AY138" i="3"/>
  <c r="AY28" i="3"/>
  <c r="AY108" i="3"/>
  <c r="BK6" i="3"/>
  <c r="AY465" i="3"/>
  <c r="AY228" i="3"/>
  <c r="AY409" i="3"/>
  <c r="AY363" i="3"/>
  <c r="AY74" i="3"/>
  <c r="AY303" i="3"/>
  <c r="AY253" i="3"/>
  <c r="AY152" i="3"/>
  <c r="AY144" i="3"/>
  <c r="AY87" i="3"/>
  <c r="AY298" i="3"/>
  <c r="AY511" i="3"/>
  <c r="AY490" i="3"/>
  <c r="AY224" i="3"/>
  <c r="AY148" i="3"/>
  <c r="AY91" i="3"/>
  <c r="AY437" i="3"/>
  <c r="AY362" i="3"/>
  <c r="AY285" i="3"/>
  <c r="AY46" i="3"/>
  <c r="AY570" i="3"/>
  <c r="AY14" i="3"/>
  <c r="AY426" i="3"/>
  <c r="AY312" i="3"/>
  <c r="AY380" i="3"/>
  <c r="AY137" i="3"/>
  <c r="AY65" i="3"/>
  <c r="AY543" i="3"/>
  <c r="AY406" i="3"/>
  <c r="AY370" i="3"/>
  <c r="AY72" i="3"/>
  <c r="AY238" i="3"/>
  <c r="AY162" i="3"/>
  <c r="AY105" i="3"/>
  <c r="AY326" i="3"/>
  <c r="AY412" i="3"/>
  <c r="AY132" i="3"/>
  <c r="AY496" i="3"/>
  <c r="AY516" i="3"/>
  <c r="AY308" i="3"/>
  <c r="AY130" i="3"/>
  <c r="AY365" i="3"/>
  <c r="AY117" i="3"/>
  <c r="AY68" i="3"/>
  <c r="AY535" i="3"/>
  <c r="AY269" i="3"/>
  <c r="AY237" i="3"/>
  <c r="AY16" i="3"/>
  <c r="AY561" i="3"/>
  <c r="AY414" i="3"/>
  <c r="AY491" i="3"/>
  <c r="AY377" i="3"/>
  <c r="AY114" i="3"/>
  <c r="AY41" i="3"/>
  <c r="AY357" i="3"/>
  <c r="AY246" i="3"/>
  <c r="AY299" i="3"/>
  <c r="AY170" i="3"/>
  <c r="AY60" i="3"/>
  <c r="AY553" i="3"/>
  <c r="AY513" i="3"/>
  <c r="AY342" i="3"/>
  <c r="AY245" i="3"/>
  <c r="AY428" i="3"/>
  <c r="AY252" i="3"/>
  <c r="AY139" i="3"/>
  <c r="AY366" i="3"/>
  <c r="AY168" i="3"/>
  <c r="AY42" i="3"/>
  <c r="M16" i="1"/>
  <c r="N16" i="1" s="1"/>
  <c r="H6" i="3"/>
  <c r="AC6" i="3"/>
  <c r="D19" i="11"/>
  <c r="C19" i="11" s="1"/>
  <c r="C20" i="11" s="1"/>
  <c r="C28" i="11" s="1"/>
  <c r="C27" i="11" s="1"/>
  <c r="D37" i="11"/>
  <c r="D3" i="34"/>
  <c r="M18" i="9"/>
  <c r="B118" i="9" s="1"/>
  <c r="D3" i="37"/>
  <c r="E6" i="6"/>
  <c r="D10" i="11" s="1"/>
  <c r="C10" i="11" s="1"/>
  <c r="L18" i="9"/>
  <c r="D14" i="12"/>
  <c r="D17" i="12" s="1"/>
  <c r="C17" i="12" s="1"/>
  <c r="C17" i="4"/>
  <c r="B4" i="52" s="1"/>
  <c r="B43" i="72" s="1"/>
  <c r="D3" i="21"/>
  <c r="D116" i="43"/>
  <c r="F22" i="11"/>
  <c r="F24" i="67"/>
  <c r="C24" i="67" s="1"/>
  <c r="F22" i="68"/>
  <c r="C44" i="68" s="1"/>
  <c r="D41" i="68" s="1"/>
  <c r="F22" i="69"/>
  <c r="F41" i="69" s="1"/>
  <c r="F25" i="12"/>
  <c r="C26" i="12" s="1"/>
  <c r="D25" i="12" s="1"/>
  <c r="F24" i="15"/>
  <c r="C24" i="15"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25" i="6"/>
  <c r="M19" i="9"/>
  <c r="C118" i="9" s="1"/>
  <c r="D26" i="6"/>
  <c r="D8" i="6"/>
  <c r="D19" i="6"/>
  <c r="C18" i="4"/>
  <c r="D23" i="6"/>
  <c r="E61" i="40"/>
  <c r="H26"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15"/>
  <c r="C17" i="67"/>
  <c r="B14" i="74" l="1"/>
  <c r="B1" i="74" s="1"/>
  <c r="C14" i="74"/>
  <c r="B2" i="74" s="1"/>
  <c r="D6" i="6"/>
  <c r="D28" i="6"/>
  <c r="D29" i="6"/>
  <c r="D20" i="6"/>
  <c r="D13" i="6"/>
  <c r="L19" i="9"/>
  <c r="D24" i="6"/>
  <c r="D11" i="6"/>
  <c r="D10" i="6"/>
  <c r="D21" i="6"/>
  <c r="D12" i="6"/>
  <c r="D9" i="6"/>
  <c r="D22" i="6"/>
  <c r="D5" i="6"/>
  <c r="D14" i="6"/>
  <c r="H22" i="6"/>
  <c r="L16" i="1"/>
  <c r="E6" i="3"/>
  <c r="H21" i="6"/>
  <c r="D10" i="68"/>
  <c r="C10" i="68" s="1"/>
  <c r="D20" i="12"/>
  <c r="C20" i="12" s="1"/>
  <c r="C18" i="12" s="1"/>
  <c r="D10" i="69"/>
  <c r="C10" i="69" s="1"/>
  <c r="C8" i="69" s="1"/>
  <c r="C5" i="69" s="1"/>
  <c r="H24" i="6"/>
  <c r="H25" i="6"/>
  <c r="R25" i="6" s="1"/>
  <c r="R12" i="1" s="1"/>
  <c r="C25" i="11"/>
  <c r="C23" i="68"/>
  <c r="C44" i="69"/>
  <c r="D41" i="69" s="1"/>
  <c r="C26" i="69"/>
  <c r="D22" i="69" s="1"/>
  <c r="C24" i="11"/>
  <c r="C26" i="68"/>
  <c r="D22" i="68" s="1"/>
  <c r="C23" i="11"/>
  <c r="F41" i="68"/>
  <c r="C44" i="11"/>
  <c r="D41" i="11" s="1"/>
  <c r="C26" i="11"/>
  <c r="D22" i="11" s="1"/>
  <c r="C16" i="71"/>
  <c r="D17" i="71"/>
  <c r="C18" i="67"/>
  <c r="C15" i="67"/>
  <c r="H23" i="6"/>
  <c r="R23" i="6" s="1"/>
  <c r="R10" i="1" s="1"/>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R26" i="6"/>
  <c r="C15" i="12"/>
  <c r="C12" i="12"/>
  <c r="F50" i="69"/>
  <c r="F50" i="11"/>
  <c r="F50" i="68"/>
  <c r="C4" i="52"/>
  <c r="B45" i="72" s="1"/>
  <c r="A10" i="51"/>
  <c r="B9" i="72" s="1"/>
  <c r="A7" i="51"/>
  <c r="B7" i="72"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D7" i="74" l="1"/>
  <c r="D8" i="74"/>
  <c r="C22" i="11"/>
  <c r="C31" i="11" s="1"/>
  <c r="R22" i="6"/>
  <c r="R9" i="1" s="1"/>
  <c r="D27" i="6"/>
  <c r="R20" i="6"/>
  <c r="R7" i="1" s="1"/>
  <c r="D30" i="6"/>
  <c r="D16" i="6"/>
  <c r="R21" i="6"/>
  <c r="R8" i="1" s="1"/>
  <c r="R24" i="6"/>
  <c r="R11" i="1" s="1"/>
  <c r="D19" i="69"/>
  <c r="D37" i="69" s="1"/>
  <c r="C37" i="69" s="1"/>
  <c r="C33" i="69" s="1"/>
  <c r="D19" i="68"/>
  <c r="D37" i="68" s="1"/>
  <c r="C37" i="68" s="1"/>
  <c r="E2" i="70"/>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23" i="69"/>
  <c r="E2" i="76"/>
  <c r="B2" i="76"/>
  <c r="I69" i="39"/>
  <c r="J67" i="39"/>
  <c r="I63" i="40"/>
  <c r="H65" i="40"/>
  <c r="I58" i="21"/>
  <c r="J58" i="21" s="1"/>
  <c r="K58" i="21" s="1"/>
  <c r="L58" i="21" s="1"/>
  <c r="M58" i="21" s="1"/>
  <c r="N58" i="21" s="1"/>
  <c r="O58" i="21" s="1"/>
  <c r="H7" i="21" s="1"/>
  <c r="J48" i="35"/>
  <c r="D31" i="6" l="1"/>
  <c r="I5" i="6" s="1"/>
  <c r="C19" i="69"/>
  <c r="C24" i="69" s="1"/>
  <c r="C19" i="68"/>
  <c r="C20" i="68" s="1"/>
  <c r="C28" i="68" s="1"/>
  <c r="C27" i="68"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39" i="69"/>
  <c r="C43" i="69" s="1"/>
  <c r="C42" i="69"/>
  <c r="B3" i="76"/>
  <c r="J69" i="39"/>
  <c r="K67" i="39"/>
  <c r="U7" i="21"/>
  <c r="AB7" i="21"/>
  <c r="T48" i="21" s="1"/>
  <c r="G48" i="21" s="1"/>
  <c r="J63" i="40"/>
  <c r="I65" i="40"/>
  <c r="K48" i="35"/>
  <c r="L48" i="35" s="1"/>
  <c r="M48" i="35" s="1"/>
  <c r="N48" i="35" s="1"/>
  <c r="O48" i="35" s="1"/>
  <c r="H7" i="35" s="1"/>
  <c r="I6" i="6" l="1"/>
  <c r="C20" i="69"/>
  <c r="C28" i="69" s="1"/>
  <c r="C27" i="69" s="1"/>
  <c r="C24" i="68"/>
  <c r="D14" i="71"/>
  <c r="C13" i="71"/>
  <c r="W7" i="21"/>
  <c r="AA7" i="21"/>
  <c r="R48" i="21" s="1"/>
  <c r="E48" i="21" s="1"/>
  <c r="J7" i="35"/>
  <c r="W7" i="35" s="1"/>
  <c r="Q49" i="67"/>
  <c r="J14" i="67"/>
  <c r="J13" i="67" s="1"/>
  <c r="J23" i="67" s="1"/>
  <c r="C36" i="67"/>
  <c r="C57" i="67"/>
  <c r="C64" i="67" s="1"/>
  <c r="C13" i="67"/>
  <c r="Q70" i="67" s="1"/>
  <c r="C33" i="11"/>
  <c r="C39" i="11" s="1"/>
  <c r="C61" i="67"/>
  <c r="C42" i="68"/>
  <c r="C32" i="12"/>
  <c r="B2" i="12" s="1"/>
  <c r="C23" i="15"/>
  <c r="C29" i="15" s="1"/>
  <c r="C41" i="69"/>
  <c r="R27" i="6"/>
  <c r="R6" i="1"/>
  <c r="C46" i="69"/>
  <c r="C45" i="69" s="1"/>
  <c r="C25" i="68"/>
  <c r="C46" i="68"/>
  <c r="C45" i="68" s="1"/>
  <c r="C43" i="68"/>
  <c r="L67" i="39"/>
  <c r="K69" i="39"/>
  <c r="J65" i="40"/>
  <c r="K63" i="40"/>
  <c r="I52" i="21"/>
  <c r="J52" i="21" s="1"/>
  <c r="U7" i="35"/>
  <c r="AB7" i="35"/>
  <c r="T38" i="35" s="1"/>
  <c r="G38" i="35" s="1"/>
  <c r="R49" i="21"/>
  <c r="G52" i="21"/>
  <c r="H52" i="21" s="1"/>
  <c r="G53" i="21"/>
  <c r="H53" i="21" s="1"/>
  <c r="F7" i="35"/>
  <c r="M21" i="15"/>
  <c r="F35" i="67"/>
  <c r="F35" i="15"/>
  <c r="D19" i="9"/>
  <c r="M21" i="67"/>
  <c r="D102" i="9" l="1"/>
  <c r="D21" i="9"/>
  <c r="B3" i="12"/>
  <c r="C22" i="68"/>
  <c r="C31" i="68" s="1"/>
  <c r="C25" i="69"/>
  <c r="C22" i="69" s="1"/>
  <c r="C31" i="69"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E53" i="21"/>
  <c r="F53" i="21" s="1"/>
  <c r="G42" i="35"/>
  <c r="H42" i="35" s="1"/>
  <c r="I53" i="21"/>
  <c r="J53" i="21" s="1"/>
  <c r="K65" i="40"/>
  <c r="L63" i="40"/>
  <c r="D20" i="9"/>
  <c r="G43" i="35" l="1"/>
  <c r="H43" i="35" s="1"/>
  <c r="D103" i="9"/>
  <c r="C52" i="68"/>
  <c r="B2" i="68" s="1"/>
  <c r="B3" i="68" s="1"/>
  <c r="C52" i="69"/>
  <c r="B2" i="69" s="1"/>
  <c r="B3" i="69"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C57" i="68" l="1"/>
  <c r="C56" i="68" s="1"/>
  <c r="C57" i="69"/>
  <c r="C56" i="69" s="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5"/>
  <c r="D2" i="36"/>
  <c r="D2" i="34"/>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8" i="1"/>
  <c r="AO7" i="1"/>
  <c r="AO9" i="1"/>
  <c r="AO6" i="1"/>
  <c r="AO12" i="1"/>
  <c r="AO11" i="1"/>
  <c r="R48" i="39" l="1"/>
  <c r="C47"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57" i="39" s="1"/>
  <c r="F57" i="39" s="1"/>
  <c r="D7" i="71"/>
  <c r="C6" i="71"/>
  <c r="B2" i="70"/>
  <c r="B3" i="70" s="1"/>
  <c r="I46" i="40"/>
  <c r="J46" i="40" s="1"/>
  <c r="R43" i="40"/>
  <c r="E42" i="40"/>
  <c r="G47" i="40"/>
  <c r="H47" i="40" s="1"/>
  <c r="G46" i="40"/>
  <c r="H46" i="40" s="1"/>
  <c r="B61" i="39" l="1"/>
  <c r="F61" i="39" s="1"/>
  <c r="B60" i="39"/>
  <c r="F60" i="39" s="1"/>
  <c r="B63" i="39"/>
  <c r="F63" i="39" s="1"/>
  <c r="B56" i="39"/>
  <c r="F56" i="39" s="1"/>
  <c r="B64" i="39"/>
  <c r="F64" i="39" s="1"/>
  <c r="B59" i="39"/>
  <c r="F59" i="39" s="1"/>
  <c r="B62" i="39"/>
  <c r="F62" i="39" s="1"/>
  <c r="B58" i="39"/>
  <c r="F58" i="39" s="1"/>
  <c r="D6" i="71"/>
  <c r="C5" i="71"/>
  <c r="D5" i="71" s="1"/>
  <c r="M24" i="43" s="1"/>
  <c r="C42" i="40"/>
  <c r="C43" i="40"/>
  <c r="E47" i="40"/>
  <c r="F47" i="40" s="1"/>
  <c r="E46" i="40"/>
  <c r="F46" i="40" s="1"/>
  <c r="I47" i="40"/>
  <c r="J47" i="40" s="1"/>
  <c r="F65" i="39" l="1"/>
  <c r="B2" i="39" s="1"/>
  <c r="B58" i="40"/>
  <c r="F58" i="40" s="1"/>
  <c r="B54" i="40"/>
  <c r="F54" i="40" s="1"/>
  <c r="B53" i="40"/>
  <c r="F53" i="40" s="1"/>
  <c r="B59" i="40"/>
  <c r="F59" i="40" s="1"/>
  <c r="B52" i="40"/>
  <c r="F52" i="40" s="1"/>
  <c r="B56" i="40"/>
  <c r="F56" i="40" s="1"/>
  <c r="B60" i="40"/>
  <c r="F60" i="40" s="1"/>
  <c r="B57" i="40"/>
  <c r="F57" i="40" s="1"/>
  <c r="B51" i="40"/>
  <c r="F51" i="40" s="1"/>
  <c r="F61" i="40"/>
  <c r="B2" i="40" s="1"/>
  <c r="B3" i="40" s="1"/>
  <c r="C19" i="9"/>
  <c r="C102" i="9" l="1"/>
  <c r="C21" i="9"/>
  <c r="D22" i="9"/>
  <c r="G19" i="9"/>
  <c r="G21" i="9" s="1"/>
  <c r="B3" i="39"/>
  <c r="C20" i="9"/>
  <c r="C103" i="9" l="1"/>
  <c r="G20" i="9"/>
  <c r="C32" i="9" s="1"/>
  <c r="C35" i="9" s="1"/>
  <c r="C34" i="9" s="1"/>
  <c r="D118" i="9" s="1"/>
  <c r="D4" i="52" l="1"/>
  <c r="B47" i="72" s="1"/>
  <c r="D119" i="9"/>
  <c r="D5" i="52" s="1"/>
  <c r="B49" i="72" s="1"/>
  <c r="H118" i="9"/>
  <c r="F118" i="9"/>
  <c r="F4" i="52" s="1"/>
  <c r="B51" i="72" s="1"/>
  <c r="I118" i="9" l="1"/>
  <c r="H102" i="9" s="1"/>
  <c r="D14" i="74"/>
  <c r="H119" i="9"/>
  <c r="H5" i="52" s="1"/>
  <c r="H4" i="52"/>
  <c r="C104" i="9"/>
  <c r="C105" i="9"/>
  <c r="G118" i="9"/>
  <c r="G4" i="52" s="1"/>
  <c r="B52" i="72" s="1"/>
  <c r="I4" i="52"/>
  <c r="F119" i="9"/>
  <c r="F5" i="52" s="1"/>
  <c r="B53" i="72" s="1"/>
  <c r="H101" i="9"/>
  <c r="M48" i="9" s="1"/>
  <c r="D45" i="9"/>
  <c r="D7" i="53"/>
  <c r="B21" i="72" s="1"/>
  <c r="E14" i="74" l="1"/>
  <c r="B5" i="74"/>
  <c r="F14" i="74"/>
  <c r="H107" i="9"/>
  <c r="D122" i="9" s="1"/>
  <c r="G14" i="74" s="1"/>
  <c r="B6" i="74" s="1"/>
  <c r="D6" i="74" s="1"/>
  <c r="E118" i="9"/>
  <c r="E4" i="52" s="1"/>
  <c r="B48" i="72" s="1"/>
  <c r="D5" i="53"/>
  <c r="B20" i="72" s="1"/>
  <c r="D6" i="53"/>
  <c r="B22" i="72" s="1"/>
  <c r="C78" i="9"/>
  <c r="C73" i="9" s="1"/>
  <c r="C85" i="9"/>
  <c r="C64" i="9"/>
  <c r="C63" i="9" s="1"/>
  <c r="C67" i="9" s="1"/>
  <c r="D55" i="9"/>
  <c r="M53" i="9" s="1"/>
  <c r="D53" i="9"/>
  <c r="D52" i="9"/>
  <c r="C72" i="9"/>
  <c r="C93" i="9"/>
  <c r="C86" i="9" s="1"/>
  <c r="M49" i="9"/>
  <c r="H108" i="9" l="1"/>
  <c r="D5" i="74"/>
  <c r="C5" i="74"/>
  <c r="D13" i="53"/>
  <c r="D14" i="53" s="1"/>
  <c r="B32" i="72" s="1"/>
  <c r="C79" i="9"/>
  <c r="C6" i="74"/>
  <c r="D15" i="53"/>
  <c r="B31" i="72" s="1"/>
  <c r="C80" i="9"/>
  <c r="E80" i="9" s="1"/>
  <c r="E81" i="9" s="1"/>
  <c r="D8" i="52"/>
  <c r="D123" i="9"/>
  <c r="D9" i="52" s="1"/>
  <c r="C95" i="9"/>
  <c r="C68" i="9"/>
  <c r="D54" i="9" s="1"/>
  <c r="D59" i="9"/>
  <c r="M55" i="9" s="1"/>
  <c r="L65" i="9"/>
  <c r="M65" i="9" s="1"/>
  <c r="L63" i="9"/>
  <c r="M63" i="9" s="1"/>
  <c r="L66" i="9"/>
  <c r="M66" i="9" s="1"/>
  <c r="L64" i="9"/>
  <c r="M64" i="9" s="1"/>
  <c r="L67" i="9"/>
  <c r="M67" i="9" s="1"/>
  <c r="L68" i="9"/>
  <c r="M68" i="9" s="1"/>
  <c r="B30" i="72"/>
  <c r="M69" i="9" l="1"/>
  <c r="N69" i="9" s="1"/>
  <c r="C96" i="9"/>
  <c r="E96" i="9" s="1"/>
  <c r="E97" i="9" s="1"/>
  <c r="C81" i="9"/>
  <c r="C97" i="9" l="1"/>
  <c r="D58" i="9" s="1"/>
  <c r="D56" i="9" s="1"/>
  <c r="M54" i="9" s="1"/>
  <c r="N57" i="9" s="1"/>
  <c r="N58" i="9" l="1"/>
  <c r="P57"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<sst xmlns="http://schemas.openxmlformats.org/spreadsheetml/2006/main" count="17854" uniqueCount="3904">
  <si>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</si>
  <si>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</si>
  <si>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</si>
  <si>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</si>
  <si>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</si>
  <si>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</si>
  <si>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</si>
  <si>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</si>
  <si>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</si>
  <si>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</si>
  <si>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</si>
  <si>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</si>
  <si>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</si>
  <si>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</si>
  <si>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</si>
  <si>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</si>
  <si>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</si>
  <si>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</si>
  <si>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</si>
  <si>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</si>
  <si>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</si>
  <si>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</si>
  <si>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</si>
  <si>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</si>
  <si>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</si>
  <si>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</si>
  <si>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</si>
  <si>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</si>
  <si>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</si>
  <si>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</si>
  <si>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</si>
  <si>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</si>
  <si>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</si>
  <si>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</si>
  <si>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</si>
  <si>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</si>
  <si>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</si>
  <si>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</si>
  <si>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</si>
  <si>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</si>
  <si>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</si>
  <si>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</si>
  <si>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</si>
  <si>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</si>
  <si>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</si>
  <si>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</si>
  <si>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</si>
  <si>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</si>
  <si>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</si>
  <si>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</si>
  <si>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</si>
  <si>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</si>
  <si>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</si>
  <si>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</si>
  <si>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</si>
  <si>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</si>
  <si>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</si>
  <si>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</si>
  <si>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</si>
  <si>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</si>
  <si>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</si>
  <si>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</si>
  <si>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</si>
  <si>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</si>
  <si>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</si>
  <si>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</si>
  <si>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</si>
  <si>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</si>
  <si>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</si>
  <si>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</si>
  <si>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</si>
  <si>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</si>
  <si>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</si>
  <si>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</si>
  <si>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</si>
  <si>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</si>
  <si>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</si>
  <si>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</si>
  <si>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</si>
  <si>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</si>
  <si>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</si>
  <si>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</si>
  <si>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</si>
  <si>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</si>
  <si>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</si>
  <si>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</si>
  <si>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</si>
  <si>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</si>
  <si>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</si>
  <si>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</si>
  <si>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</si>
  <si>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</si>
  <si>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</si>
  <si>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</si>
  <si>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</si>
  <si>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</si>
  <si>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</si>
  <si>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</si>
  <si>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</si>
  <si>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</si>
  <si>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</si>
  <si>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</si>
  <si>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</si>
  <si>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</si>
  <si>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</si>
  <si>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</si>
  <si>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</si>
  <si>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</si>
  <si>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</si>
  <si>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</si>
  <si>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</si>
  <si>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</si>
  <si>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</si>
  <si>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</si>
  <si>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</si>
  <si>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</si>
  <si>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</si>
  <si>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</si>
  <si>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</si>
  <si>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</si>
  <si>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</si>
  <si>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</si>
  <si>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</si>
  <si>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</si>
  <si>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</si>
  <si>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</si>
  <si>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</si>
  <si>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</si>
  <si>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</si>
  <si>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</si>
  <si>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</si>
  <si>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</si>
  <si>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</si>
  <si>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</si>
  <si>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</si>
  <si>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</si>
  <si>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</si>
  <si>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</si>
  <si>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</si>
  <si>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</si>
  <si>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</si>
  <si>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</si>
  <si>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</si>
  <si>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</si>
  <si>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</si>
  <si>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</si>
  <si>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</si>
  <si>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</si>
  <si>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</si>
  <si>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</si>
  <si>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</si>
  <si>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</si>
  <si>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</si>
  <si>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</si>
  <si>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</si>
  <si>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</si>
  <si>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</si>
  <si>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</si>
  <si>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</si>
  <si>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</si>
  <si>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</si>
  <si>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</si>
  <si>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</si>
  <si>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</si>
  <si>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</si>
  <si>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</si>
  <si>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</si>
  <si>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</si>
  <si>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</si>
  <si>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</si>
  <si>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</si>
  <si>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</si>
  <si>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</si>
  <si>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</si>
  <si>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</si>
  <si>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</si>
  <si>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</si>
  <si>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</si>
  <si>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</si>
  <si>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</si>
  <si>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</si>
  <si>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</si>
  <si>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</si>
  <si>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</si>
  <si>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</si>
  <si>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</si>
  <si>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</si>
  <si>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</si>
  <si>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</si>
  <si>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</si>
  <si>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</si>
  <si>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</si>
  <si>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</si>
  <si>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</si>
  <si>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</si>
  <si>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</si>
  <si>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</si>
  <si>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</si>
  <si>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</si>
  <si>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</si>
  <si>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</si>
  <si>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</si>
  <si>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</si>
  <si>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</si>
  <si>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</si>
  <si>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</si>
  <si>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</si>
  <si>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</si>
  <si>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</si>
  <si>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</si>
  <si>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</si>
  <si>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</si>
  <si>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</si>
  <si>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</si>
  <si>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</si>
  <si>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</si>
  <si>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</si>
  <si>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</si>
  <si>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</si>
  <si>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</si>
  <si>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</si>
  <si>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</si>
  <si>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</si>
  <si>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</si>
  <si>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</si>
  <si>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</si>
  <si>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</si>
  <si>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</si>
  <si>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</si>
  <si>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</si>
  <si>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</si>
  <si>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</si>
  <si>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</si>
  <si>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</si>
  <si>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</si>
  <si>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</si>
  <si>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</si>
  <si>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</si>
  <si>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</si>
  <si>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</si>
  <si>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</si>
  <si>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</si>
  <si>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</si>
  <si>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</si>
  <si>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</si>
  <si>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</si>
  <si>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</si>
  <si>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</si>
  <si>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</si>
  <si>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</si>
  <si>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</si>
  <si>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</si>
  <si>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</si>
  <si>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</si>
  <si>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</si>
  <si>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</si>
  <si>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</si>
  <si>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</si>
  <si>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</si>
  <si>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</si>
  <si>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</si>
  <si>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</si>
  <si>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</si>
  <si>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</si>
  <si>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</si>
  <si>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</si>
  <si>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</si>
  <si>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</si>
  <si>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</si>
  <si>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</si>
  <si>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</si>
  <si>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</si>
  <si>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</si>
  <si>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</si>
  <si>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</si>
  <si>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</si>
  <si>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</si>
  <si>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</si>
  <si>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</si>
  <si>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</si>
  <si>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</si>
  <si>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</si>
  <si>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</si>
  <si>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</si>
  <si>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</si>
  <si>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</si>
  <si>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</si>
  <si>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</si>
  <si>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</si>
  <si>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</si>
  <si>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</si>
  <si>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</si>
  <si>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</si>
  <si>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</si>
  <si>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</si>
  <si>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</si>
  <si>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</si>
  <si>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</si>
  <si>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</si>
  <si>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</si>
  <si>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</si>
  <si>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</si>
  <si>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</si>
  <si>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</si>
  <si>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</si>
  <si>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</si>
  <si>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</si>
  <si>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</si>
  <si>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</si>
  <si>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</si>
  <si>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</si>
  <si>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</si>
  <si>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</si>
  <si>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</si>
  <si>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</si>
  <si>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</si>
  <si>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</si>
  <si>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</si>
  <si>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</si>
  <si>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</si>
  <si>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</si>
  <si>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</si>
  <si>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</si>
  <si>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</si>
  <si>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</si>
  <si>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</si>
  <si>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</si>
  <si>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</si>
  <si>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</si>
  <si>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</si>
  <si>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</si>
  <si>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</si>
  <si>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</si>
  <si>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</si>
  <si>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</si>
  <si>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</si>
  <si>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</si>
  <si>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</si>
  <si>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</si>
  <si>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</si>
  <si>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</si>
  <si>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</si>
  <si>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</si>
  <si>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</si>
  <si>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</si>
  <si>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</si>
  <si>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</si>
  <si>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</si>
  <si>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</si>
  <si>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</si>
  <si>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</si>
  <si>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</si>
  <si>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</si>
  <si>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</si>
  <si>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</si>
  <si>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</si>
  <si>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</si>
  <si>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</si>
  <si>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</si>
  <si>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</si>
  <si>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</si>
  <si>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</si>
  <si>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</si>
  <si>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</si>
  <si>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</si>
  <si>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</si>
  <si>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</si>
  <si>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</si>
  <si>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</si>
  <si>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</si>
  <si>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</si>
  <si>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</si>
  <si>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</si>
  <si>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</si>
  <si>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</si>
  <si>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</si>
  <si>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</si>
  <si>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</si>
  <si>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</si>
  <si>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</si>
  <si>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</si>
  <si>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</si>
  <si>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</si>
  <si>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</si>
  <si>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</si>
  <si>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</si>
  <si>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</si>
  <si>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</si>
  <si>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</si>
  <si>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</si>
  <si>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</si>
  <si>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</si>
  <si>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</si>
  <si>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</si>
  <si>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</si>
  <si>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</si>
  <si>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</si>
  <si>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</si>
  <si>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</si>
  <si>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</si>
  <si>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</si>
  <si>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</si>
  <si>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</si>
  <si>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</si>
  <si>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</si>
  <si>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</si>
  <si>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</si>
  <si>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</si>
  <si>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</si>
  <si>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</si>
  <si>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</si>
  <si>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</si>
  <si>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</si>
  <si>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</si>
  <si>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</si>
  <si>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</si>
  <si>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</si>
  <si>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</si>
  <si>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</si>
  <si>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</si>
  <si>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</si>
  <si>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</si>
  <si>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</si>
  <si>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</si>
  <si>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</si>
  <si>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</si>
  <si>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</si>
  <si>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</si>
  <si>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</si>
  <si>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</si>
  <si>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</si>
  <si>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</si>
  <si>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</si>
  <si>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</si>
  <si>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</si>
  <si>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</si>
  <si>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</si>
  <si>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</si>
  <si>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</si>
  <si>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</si>
  <si>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</si>
  <si>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</si>
  <si>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</si>
  <si>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</si>
  <si>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</si>
  <si>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</si>
  <si>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</si>
  <si>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</si>
  <si>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</si>
  <si>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</si>
  <si>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</si>
  <si>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</si>
  <si>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</si>
  <si>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</si>
  <si>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</si>
  <si>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</si>
  <si>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</si>
  <si>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</si>
  <si>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</si>
  <si>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</si>
  <si>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</si>
  <si>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</si>
  <si>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</si>
  <si>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</si>
  <si>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</si>
  <si>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</si>
  <si>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</si>
  <si>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</si>
  <si>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</si>
  <si>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</si>
  <si>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</si>
  <si>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</si>
  <si>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</si>
  <si>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</si>
  <si>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</si>
  <si>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</si>
  <si>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</si>
  <si>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</si>
  <si>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</si>
  <si>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</si>
  <si>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</si>
  <si>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</si>
  <si>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</si>
  <si>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</si>
  <si>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</si>
  <si>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</si>
  <si>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</si>
  <si>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</si>
  <si>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</si>
  <si>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</si>
  <si>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</si>
  <si>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</si>
  <si>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</si>
  <si>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</si>
  <si>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</si>
  <si>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</si>
  <si>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</si>
  <si>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</si>
  <si>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</si>
  <si>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</si>
  <si>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</si>
  <si>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</si>
  <si>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</si>
  <si>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</si>
  <si>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</si>
  <si>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</si>
  <si>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</si>
  <si>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</si>
  <si>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</si>
  <si>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</si>
  <si>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</si>
  <si>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</si>
  <si>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</si>
  <si>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</si>
  <si>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</si>
  <si>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</si>
  <si>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</si>
  <si>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</si>
  <si>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</si>
  <si>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</si>
  <si>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</si>
  <si>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</si>
  <si>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</si>
  <si>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</si>
  <si>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</si>
  <si>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</si>
  <si>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</si>
  <si>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</si>
  <si>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</si>
  <si>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</si>
  <si>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</si>
  <si>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</si>
  <si>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</si>
  <si>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</si>
  <si>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</si>
  <si>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</si>
  <si>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</si>
  <si>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</si>
  <si>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</si>
  <si>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</si>
  <si>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</si>
  <si>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</si>
  <si>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</si>
  <si>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</si>
  <si>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</si>
  <si>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</si>
  <si>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</si>
  <si>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</si>
  <si>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</si>
  <si>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</si>
  <si>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</si>
  <si>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</si>
  <si>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</si>
  <si>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</si>
  <si>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</si>
  <si>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</si>
  <si>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</si>
  <si>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</si>
  <si>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</si>
  <si>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</si>
  <si>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</si>
  <si>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</si>
  <si>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</si>
  <si>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</si>
  <si>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</si>
  <si>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</si>
  <si>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</si>
  <si>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</si>
  <si>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</si>
  <si>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</si>
  <si>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</si>
  <si>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</si>
  <si>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</si>
  <si>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</si>
  <si>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</si>
  <si>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</si>
  <si>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</si>
  <si>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</si>
  <si>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</si>
  <si>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</si>
  <si>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</si>
  <si>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</si>
  <si>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</si>
  <si>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</si>
  <si>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</si>
  <si>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</si>
  <si>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</si>
  <si>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</si>
  <si>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</si>
  <si>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</si>
  <si>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</si>
  <si>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</si>
  <si>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</si>
  <si>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</si>
  <si>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</si>
  <si>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</si>
  <si>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</si>
  <si>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</si>
  <si>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</si>
  <si>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</si>
  <si>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</si>
  <si>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</si>
  <si>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</si>
  <si>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</si>
  <si>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</si>
  <si>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</si>
  <si>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</si>
  <si>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</si>
  <si>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</si>
  <si>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</si>
  <si>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</si>
  <si>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</si>
  <si>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</si>
  <si>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</si>
  <si>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</si>
  <si>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</si>
  <si>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</si>
  <si>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</si>
  <si>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</si>
  <si>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</si>
  <si>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</si>
  <si>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</si>
  <si>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</si>
  <si>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</si>
  <si>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</si>
  <si>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</si>
  <si>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</si>
  <si>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</si>
  <si>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</si>
  <si>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</si>
  <si>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</si>
  <si>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</si>
  <si>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</si>
  <si>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</si>
  <si>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</si>
  <si>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</si>
  <si>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</si>
  <si>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</si>
  <si>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</si>
  <si>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</si>
  <si>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</si>
  <si>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</si>
  <si>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</si>
  <si>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</si>
  <si>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</si>
  <si>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</si>
  <si>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</si>
  <si>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</si>
  <si>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</si>
  <si>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</si>
  <si>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</si>
  <si>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</si>
  <si>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</si>
  <si>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</si>
  <si>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</si>
  <si>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</si>
  <si>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</si>
  <si>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</si>
  <si>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</si>
  <si>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</si>
  <si>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</si>
  <si>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</si>
  <si>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</si>
  <si>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</si>
  <si>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</si>
  <si>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</si>
  <si>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</si>
  <si>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</si>
  <si>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</si>
  <si>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</si>
  <si>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</si>
  <si>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</si>
  <si>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</si>
  <si>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</si>
  <si>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</si>
  <si>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</si>
  <si>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</si>
  <si>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</si>
  <si>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</si>
  <si>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</si>
  <si>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</si>
  <si>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</si>
  <si>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</si>
  <si>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</si>
  <si>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</si>
  <si>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</si>
  <si>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</si>
  <si>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</si>
  <si>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</si>
  <si>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</si>
  <si>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</si>
  <si>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</si>
  <si>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</si>
  <si>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</si>
  <si>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</si>
  <si>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</si>
  <si>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</si>
  <si>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</si>
  <si>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</si>
  <si>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</si>
  <si>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</si>
  <si>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</si>
  <si>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</si>
  <si>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</si>
  <si>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</si>
  <si>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</si>
  <si>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</si>
  <si>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</si>
  <si>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</si>
  <si>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</si>
  <si>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</si>
  <si>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</si>
  <si>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</si>
  <si>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</si>
  <si>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</si>
  <si>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</si>
  <si>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</si>
  <si>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</si>
  <si>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</si>
  <si>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</si>
  <si>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</si>
  <si>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</si>
  <si>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</si>
  <si>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</si>
  <si>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</si>
  <si>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</si>
  <si>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</si>
  <si>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</si>
  <si>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</si>
  <si>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</si>
  <si>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</si>
  <si>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</si>
  <si>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</si>
  <si>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</si>
  <si>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</si>
  <si>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</si>
  <si>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</si>
  <si>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</si>
  <si>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</si>
  <si>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</si>
  <si>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</si>
  <si>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</si>
  <si>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</si>
  <si>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</si>
  <si>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</si>
  <si>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</si>
  <si>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</si>
  <si>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</si>
  <si>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</si>
  <si>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</si>
  <si>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</si>
  <si>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</si>
  <si>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</si>
  <si>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</si>
  <si>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</si>
  <si>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</si>
  <si>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</si>
  <si>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</si>
  <si>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</si>
  <si>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</si>
  <si>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</si>
  <si>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</si>
  <si>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</si>
  <si>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</si>
  <si>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</si>
  <si>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</si>
  <si>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</si>
  <si>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</si>
  <si>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</si>
  <si>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</si>
  <si>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</si>
  <si>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</si>
  <si>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</si>
  <si>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</si>
  <si>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</si>
  <si>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</si>
  <si>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</si>
  <si>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</si>
  <si>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</si>
  <si>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</si>
  <si>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</si>
  <si>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</si>
  <si>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</si>
  <si>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</si>
  <si>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</si>
  <si>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</si>
  <si>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</si>
  <si>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</si>
  <si>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</si>
  <si>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</si>
  <si>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</si>
  <si>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</si>
  <si>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</si>
  <si>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</si>
  <si>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</si>
  <si>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</si>
  <si>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</si>
  <si>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</si>
  <si>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</si>
  <si>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</si>
  <si>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</si>
  <si>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</si>
  <si>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</si>
  <si>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</si>
  <si>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</si>
  <si>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</si>
  <si>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</si>
  <si>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</si>
  <si>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</si>
  <si>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</si>
  <si>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</si>
  <si>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</si>
  <si>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</si>
  <si>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</si>
  <si>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</si>
  <si>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</si>
  <si>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</si>
  <si>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</si>
  <si>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</si>
  <si>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</si>
  <si>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</si>
  <si>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</si>
  <si>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</si>
  <si>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</si>
  <si>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</si>
  <si>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</si>
  <si>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</si>
  <si>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</si>
  <si>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</si>
  <si>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</si>
  <si>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</si>
  <si>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</si>
  <si>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</si>
  <si>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</si>
  <si>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</si>
  <si>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</si>
  <si>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</si>
  <si>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</si>
  <si>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</si>
  <si>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</si>
  <si>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</si>
  <si>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</si>
  <si>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</si>
  <si>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</si>
  <si>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</si>
  <si>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</si>
  <si>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</si>
  <si>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</si>
  <si>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</si>
  <si>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</si>
  <si>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</si>
  <si>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</si>
  <si>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</si>
  <si>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</si>
  <si>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</si>
  <si>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</si>
  <si>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</si>
  <si>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</si>
  <si>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</si>
  <si>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</si>
  <si>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</si>
  <si>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</si>
  <si>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</si>
  <si>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</si>
  <si>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</si>
  <si>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</si>
  <si>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</si>
  <si>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</si>
  <si>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</si>
  <si>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</si>
  <si>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</si>
  <si>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</si>
  <si>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</si>
  <si>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</si>
  <si>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</si>
  <si>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</si>
  <si>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</si>
  <si>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</si>
  <si>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</si>
  <si>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</si>
  <si>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</si>
  <si>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</si>
  <si>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</si>
  <si>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</si>
  <si>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</si>
  <si>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</si>
  <si>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</si>
  <si>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</si>
  <si>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</si>
  <si>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</si>
  <si>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</si>
  <si>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</si>
  <si>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</si>
  <si>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</si>
  <si>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</si>
  <si>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</si>
  <si>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</si>
  <si>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</si>
  <si>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</si>
  <si>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</si>
  <si>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</si>
  <si>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</si>
  <si>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</si>
  <si>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</si>
  <si>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</si>
  <si>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</si>
  <si>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</si>
  <si>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</si>
  <si>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</si>
  <si>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</si>
  <si>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</si>
  <si>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</si>
  <si>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</si>
  <si>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</si>
  <si>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</si>
  <si>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</si>
  <si>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</si>
  <si>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</si>
  <si>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</si>
  <si>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</si>
  <si>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</si>
  <si>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</si>
  <si>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</si>
  <si>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</si>
  <si>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</si>
  <si>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</si>
  <si>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</si>
  <si>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</si>
  <si>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</si>
  <si>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</si>
  <si>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</si>
  <si>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</si>
  <si>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</si>
  <si>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</si>
  <si>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</si>
  <si>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</si>
  <si>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</si>
  <si>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</si>
  <si>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</si>
  <si>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</si>
  <si>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</si>
  <si>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</si>
  <si>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</si>
  <si>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</si>
  <si>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</si>
  <si>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</si>
  <si>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</si>
  <si>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</si>
  <si>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</si>
  <si>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</si>
  <si>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</si>
  <si>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</si>
  <si>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</si>
  <si>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</si>
  <si>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</si>
  <si>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</si>
  <si>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</si>
  <si>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</si>
  <si>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</si>
  <si>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</si>
  <si>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</si>
  <si>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</si>
  <si>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</si>
  <si>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</si>
  <si>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</si>
  <si>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</si>
  <si>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</si>
  <si>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</si>
  <si>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</si>
  <si>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</si>
  <si>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</si>
  <si>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</si>
  <si>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</si>
  <si>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</si>
  <si>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</si>
  <si>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</si>
  <si>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</si>
  <si>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</si>
  <si>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</si>
  <si>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</si>
  <si>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</si>
  <si>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</si>
  <si>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</si>
  <si>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</si>
  <si>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</si>
  <si>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</si>
  <si>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</si>
  <si>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</si>
  <si>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</si>
  <si>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</si>
  <si>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</si>
  <si>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</si>
  <si>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</si>
  <si>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</si>
  <si>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</si>
  <si>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</si>
  <si>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</si>
  <si>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</si>
  <si>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</si>
  <si>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</si>
  <si>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</si>
  <si>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</si>
  <si>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</si>
  <si>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</si>
  <si>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</si>
  <si>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</si>
  <si>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</si>
  <si>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</si>
  <si>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</si>
  <si>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</si>
  <si>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</si>
  <si>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</si>
  <si>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</si>
  <si>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</si>
  <si>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</si>
  <si>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</si>
  <si>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</si>
  <si>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</si>
  <si>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</si>
  <si>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</si>
  <si>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</si>
  <si>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</si>
  <si>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</si>
  <si>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</si>
  <si>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</si>
  <si>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</si>
  <si>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</si>
  <si>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</si>
  <si>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</si>
  <si>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</si>
  <si>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</si>
  <si>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</si>
  <si>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</si>
  <si>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</si>
  <si>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</si>
  <si>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</si>
  <si>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</si>
  <si>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</si>
  <si>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</si>
  <si>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</si>
  <si>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</si>
  <si>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</si>
  <si>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</si>
  <si>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</si>
  <si>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</si>
  <si>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</si>
  <si>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</si>
  <si>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</si>
  <si>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</si>
  <si>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</si>
  <si>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</si>
  <si>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</si>
  <si>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</si>
  <si>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</si>
  <si>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</si>
  <si>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</si>
  <si>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</si>
  <si>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</si>
  <si>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</si>
  <si>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</si>
  <si>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</si>
  <si>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</si>
  <si>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</si>
  <si>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</si>
  <si>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</si>
  <si>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</si>
  <si>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</si>
  <si>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</si>
  <si>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</si>
  <si>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</si>
  <si>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</si>
  <si>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</si>
  <si>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</si>
  <si>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</si>
  <si>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</si>
  <si>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</si>
  <si>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</si>
  <si>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</si>
  <si>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</si>
  <si>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</si>
  <si>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</si>
  <si>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</si>
  <si>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</si>
  <si>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</si>
  <si>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</si>
  <si>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</si>
  <si>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</si>
  <si>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</si>
  <si>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</si>
  <si>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</si>
  <si>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</si>
  <si>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</si>
  <si>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</si>
  <si>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</si>
  <si>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</si>
  <si>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</si>
  <si>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</si>
  <si>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</si>
  <si>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</si>
  <si>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</si>
  <si>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</si>
  <si>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</si>
  <si>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</si>
  <si>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</si>
  <si>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</si>
  <si>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</si>
  <si>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</si>
  <si>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</si>
  <si>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</si>
  <si>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</si>
  <si>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</si>
  <si>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</si>
  <si>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</si>
  <si>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</si>
  <si>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</si>
  <si>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</si>
  <si>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</si>
  <si>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</si>
  <si>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</si>
  <si>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</si>
  <si>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</si>
  <si>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</si>
  <si>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</si>
  <si>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</si>
  <si>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</si>
  <si>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</si>
  <si>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</si>
  <si>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</si>
  <si>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</si>
  <si>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</si>
  <si>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</si>
  <si>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</si>
  <si>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</si>
  <si>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</si>
  <si>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</si>
  <si>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</si>
  <si>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</si>
  <si>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</si>
  <si>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</si>
  <si>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</si>
  <si>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</si>
  <si>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</si>
  <si>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</si>
  <si>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</si>
  <si>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</si>
  <si>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</si>
  <si>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</si>
  <si>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</si>
  <si>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</si>
  <si>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</si>
  <si>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</si>
  <si>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</si>
  <si>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</si>
  <si>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</si>
  <si>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</si>
  <si>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</si>
  <si>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</si>
  <si>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</si>
  <si>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</si>
  <si>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</si>
  <si>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</si>
  <si>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</si>
  <si>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</si>
  <si>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</si>
  <si>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</si>
  <si>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</si>
  <si>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</si>
  <si>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</si>
  <si>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</si>
  <si>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</si>
  <si>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</si>
  <si>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</si>
  <si>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</si>
  <si>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</si>
  <si>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</si>
  <si>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</si>
  <si>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</si>
  <si>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</si>
  <si>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</si>
  <si>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</si>
  <si>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</si>
  <si>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</si>
  <si>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</si>
  <si>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</si>
  <si>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</si>
  <si>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</si>
  <si>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</si>
  <si>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</si>
  <si>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</si>
  <si>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</si>
  <si>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</si>
  <si>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</si>
  <si>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</si>
  <si>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</si>
  <si>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</si>
  <si>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</si>
  <si>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</si>
  <si>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</si>
  <si>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</si>
  <si>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</si>
  <si>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</si>
  <si>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</si>
  <si>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</si>
  <si>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</si>
  <si>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</si>
  <si>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</si>
  <si>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</si>
  <si>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</si>
  <si>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</si>
  <si>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</si>
  <si>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</si>
  <si>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</si>
  <si>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</si>
  <si>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</si>
  <si>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</si>
  <si>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</si>
  <si>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</si>
  <si>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</si>
  <si>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</si>
  <si>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</si>
  <si>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</si>
  <si>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</si>
  <si>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</si>
  <si>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</si>
  <si>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</si>
  <si>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</si>
  <si>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</si>
  <si>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</si>
  <si>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</si>
  <si>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</si>
  <si>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</si>
  <si>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</si>
  <si>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</si>
  <si>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</si>
  <si>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</si>
  <si>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</si>
  <si>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</si>
  <si>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</si>
  <si>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</si>
  <si>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</si>
  <si>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</si>
  <si>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</si>
  <si>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</si>
  <si>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</si>
  <si>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</si>
  <si>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</si>
  <si>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</si>
  <si>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</si>
  <si>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</si>
  <si>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</si>
  <si>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</si>
  <si>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</si>
  <si>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</si>
  <si>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</si>
  <si>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</si>
  <si>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</si>
  <si>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</si>
  <si>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</si>
  <si>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</si>
  <si>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</si>
  <si>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</si>
  <si>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</si>
  <si>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</si>
  <si>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</si>
  <si>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</si>
  <si>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</si>
  <si>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</si>
  <si>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</si>
  <si>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</si>
  <si>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</si>
  <si>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</si>
  <si>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</si>
  <si>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</si>
  <si>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</si>
  <si>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</si>
  <si>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</si>
  <si>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</si>
  <si>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</si>
  <si>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</si>
  <si>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</si>
  <si>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</si>
  <si>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</si>
  <si>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</si>
  <si>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</si>
  <si>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</si>
  <si>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</si>
  <si>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</si>
  <si>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</si>
  <si>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</si>
  <si>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</si>
  <si>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</si>
  <si>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</si>
  <si>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</si>
  <si>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</si>
  <si>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</si>
  <si>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</si>
  <si>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</si>
  <si>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</si>
  <si>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</si>
  <si>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</si>
  <si>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</si>
  <si>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</si>
  <si>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</si>
  <si>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</si>
  <si>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</si>
  <si>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</si>
  <si>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</si>
  <si>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</si>
  <si>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</si>
  <si>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</si>
  <si>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</si>
  <si>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</si>
  <si>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</si>
  <si>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</si>
  <si>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</si>
  <si>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</si>
  <si>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</si>
  <si>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</si>
  <si>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</si>
  <si>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</si>
  <si>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</si>
  <si>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</si>
  <si>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</si>
  <si>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</si>
  <si>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</si>
  <si>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</si>
  <si>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</si>
  <si>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</si>
  <si>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</si>
  <si>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</si>
  <si>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</si>
  <si>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</si>
  <si>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</si>
  <si>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</si>
  <si>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</si>
  <si>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</si>
  <si>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</si>
  <si>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</si>
  <si>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</si>
  <si>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</si>
  <si>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</si>
  <si>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</si>
  <si>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</si>
  <si>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</si>
  <si>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</si>
  <si>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</si>
  <si>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</si>
  <si>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</si>
  <si>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</si>
  <si>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</si>
  <si>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</si>
  <si>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</si>
  <si>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</si>
  <si>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</si>
  <si>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</si>
  <si>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</si>
  <si>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</si>
  <si>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</si>
  <si>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</si>
  <si>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</si>
  <si>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</si>
  <si>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</si>
  <si>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</si>
  <si>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</si>
  <si>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</si>
  <si>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</si>
  <si>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</si>
  <si>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</si>
  <si>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</si>
  <si>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</si>
  <si>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</si>
  <si>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</si>
  <si>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</si>
  <si>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</si>
  <si>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</si>
  <si>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</si>
  <si>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</si>
  <si>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</si>
  <si>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</si>
  <si>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</si>
  <si>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</si>
  <si>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</si>
  <si>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</si>
  <si>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</si>
  <si>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</si>
  <si>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</si>
  <si>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</si>
  <si>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</si>
  <si>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</si>
  <si>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</si>
  <si>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</si>
  <si>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</si>
  <si>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</si>
  <si>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</si>
  <si>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</si>
  <si>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</si>
  <si>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</si>
  <si>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</si>
  <si>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</si>
  <si>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</si>
  <si>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</si>
  <si>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</si>
  <si>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</si>
  <si>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</si>
  <si>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</si>
  <si>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</si>
  <si>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</si>
  <si>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</si>
  <si>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</si>
  <si>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</si>
  <si>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</si>
  <si>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</si>
  <si>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</si>
  <si>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</si>
  <si>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</si>
  <si>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</si>
  <si>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</si>
  <si>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</si>
  <si>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</si>
  <si>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</si>
  <si>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</si>
  <si>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</si>
  <si>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</si>
  <si>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</si>
  <si>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</si>
  <si>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</si>
  <si>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</si>
  <si>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</si>
  <si>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</si>
  <si>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</si>
  <si>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</si>
  <si>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</si>
  <si>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</si>
  <si>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</si>
  <si>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</si>
  <si>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</si>
  <si>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</si>
  <si>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</si>
  <si>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</si>
  <si>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</si>
  <si>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</si>
  <si>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</si>
  <si>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</si>
  <si>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</si>
  <si>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</si>
  <si>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</si>
  <si>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</si>
  <si>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</si>
  <si>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</si>
  <si>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</si>
  <si>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</si>
  <si>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</si>
  <si>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</si>
  <si>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</si>
  <si>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</si>
  <si>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</si>
  <si>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</si>
  <si>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</si>
  <si>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</si>
  <si>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</si>
  <si>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</si>
  <si>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</si>
  <si>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</si>
  <si>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</si>
  <si>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</si>
  <si>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</si>
  <si>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</si>
  <si>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</si>
  <si>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</si>
  <si>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</si>
  <si>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</si>
  <si>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</si>
  <si>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</si>
  <si>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</si>
  <si>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</si>
  <si>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</si>
  <si>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</si>
  <si>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</si>
  <si>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</si>
  <si>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</si>
  <si>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</si>
  <si>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</si>
  <si>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</si>
  <si>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</si>
  <si>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</si>
  <si>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</si>
  <si>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</si>
  <si>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</si>
  <si>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</si>
  <si>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</si>
  <si>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</si>
  <si>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</si>
  <si>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</si>
  <si>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</si>
  <si>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</si>
  <si>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</si>
  <si>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</si>
  <si>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</si>
  <si>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</si>
  <si>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</si>
  <si>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</si>
  <si>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</si>
  <si>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</si>
  <si>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</si>
  <si>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</si>
  <si>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</si>
  <si>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</si>
  <si>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</si>
  <si>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</si>
  <si>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</si>
  <si>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</si>
  <si>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</si>
  <si>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</si>
  <si>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</si>
  <si>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</si>
  <si>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</si>
  <si>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</si>
  <si>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</si>
  <si>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</si>
  <si>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</si>
  <si>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</si>
  <si>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</si>
  <si>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</si>
  <si>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</si>
  <si>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</si>
  <si>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</si>
  <si>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</si>
  <si>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</si>
  <si>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</si>
  <si>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</si>
  <si>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</si>
  <si>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</si>
  <si>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</si>
  <si>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</si>
  <si>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</si>
  <si>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</si>
  <si>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</si>
  <si>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</si>
  <si>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</si>
  <si>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</si>
  <si>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</si>
  <si>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</si>
  <si>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</si>
  <si>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</si>
  <si>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</si>
  <si>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</si>
  <si>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</si>
  <si>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</si>
  <si>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</si>
  <si>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</si>
  <si>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</si>
  <si>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</si>
  <si>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</si>
  <si>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</si>
  <si>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</si>
  <si>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</si>
  <si>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</si>
  <si>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</si>
  <si>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</si>
  <si>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</si>
  <si>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</si>
  <si>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</si>
  <si>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</si>
  <si>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</si>
  <si>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</si>
  <si>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</si>
  <si>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</si>
  <si>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</si>
  <si>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</si>
  <si>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</si>
  <si>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</si>
  <si>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</si>
  <si>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</si>
  <si>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</si>
  <si>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</si>
  <si>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</si>
  <si>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</si>
  <si>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</si>
  <si>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</si>
  <si>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</si>
  <si>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</si>
  <si>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</si>
  <si>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</si>
  <si>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</si>
  <si>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</si>
  <si>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</si>
  <si>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</si>
  <si>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</si>
  <si>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</si>
  <si>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</si>
  <si>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</si>
  <si>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</si>
  <si>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</si>
  <si>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</si>
  <si>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</si>
  <si>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</si>
  <si>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</si>
  <si>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</si>
  <si>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</si>
  <si>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</si>
  <si>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</si>
  <si>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</si>
  <si>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</si>
  <si>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</si>
  <si>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</si>
  <si>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</si>
  <si>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</si>
  <si>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</si>
  <si>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</si>
  <si>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</si>
  <si>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</si>
  <si>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</si>
  <si>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</si>
  <si>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</si>
  <si>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</si>
  <si>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</si>
  <si>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</si>
  <si>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</si>
  <si>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</si>
  <si>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</si>
  <si>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</si>
  <si>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</si>
  <si>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</si>
  <si>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</si>
  <si>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</si>
  <si>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</si>
  <si>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</si>
  <si>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</si>
  <si>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</si>
  <si>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</si>
  <si>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</si>
  <si>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</si>
  <si>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</si>
  <si>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</si>
  <si>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</si>
  <si>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</si>
  <si>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</si>
  <si>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</si>
  <si>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</si>
  <si>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</si>
  <si>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</si>
  <si>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</si>
  <si>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</si>
  <si>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</si>
  <si>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</si>
  <si>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</si>
  <si>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</si>
  <si>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</si>
  <si>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</si>
  <si>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</si>
  <si>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</si>
  <si>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</si>
  <si>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</si>
  <si>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</si>
  <si>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</si>
  <si>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</si>
  <si>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</si>
  <si>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</si>
  <si>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</si>
  <si>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</si>
  <si>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</si>
  <si>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</si>
  <si>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</si>
  <si>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</si>
  <si>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</si>
  <si>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</si>
  <si>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</si>
  <si>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</si>
  <si>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</si>
  <si>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</si>
  <si>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</si>
  <si>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</si>
  <si>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</si>
  <si>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</si>
  <si>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</si>
  <si>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</si>
  <si>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</si>
  <si>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</si>
  <si>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</si>
  <si>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</si>
  <si>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</si>
  <si>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</si>
  <si>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</si>
  <si>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</si>
  <si>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</si>
  <si>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</si>
  <si>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</si>
  <si>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</si>
  <si>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</si>
  <si>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</si>
  <si>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</si>
  <si>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</si>
  <si>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</si>
  <si>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</si>
  <si>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</si>
  <si>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</si>
  <si>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</si>
  <si>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</si>
  <si>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</si>
  <si>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</si>
  <si>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</si>
  <si>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</si>
  <si>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</si>
  <si>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</si>
  <si>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</si>
  <si>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</si>
  <si>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</si>
  <si>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</si>
  <si>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</si>
  <si>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</si>
  <si>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</si>
  <si>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</si>
  <si>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</si>
  <si>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</si>
  <si>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</si>
  <si>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</si>
  <si>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</si>
  <si>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</si>
  <si>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</si>
  <si>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</si>
  <si>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</si>
  <si>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</si>
  <si>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</si>
  <si>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</si>
  <si>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</si>
  <si>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</si>
  <si>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</si>
  <si>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</si>
  <si>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</si>
  <si>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</si>
  <si>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</si>
  <si>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</si>
  <si>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</si>
  <si>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</si>
  <si>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</si>
  <si>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</si>
  <si>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</si>
  <si>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</si>
  <si>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</si>
  <si>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</si>
  <si>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</si>
  <si>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</si>
  <si>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</si>
  <si>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</si>
  <si>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</si>
  <si>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</si>
  <si>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</si>
  <si>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</si>
  <si>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</si>
  <si>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</si>
  <si>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</si>
  <si>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</si>
  <si>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</si>
  <si>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</si>
  <si>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</si>
  <si>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</si>
  <si>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</si>
  <si>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</si>
  <si>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</si>
  <si>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</si>
  <si>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</si>
  <si>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</si>
  <si>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</si>
  <si>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</si>
  <si>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</si>
  <si>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</si>
  <si>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</si>
  <si>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</si>
  <si>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</si>
  <si>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</si>
  <si>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</si>
  <si>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</si>
  <si>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</si>
  <si>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</si>
  <si>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</si>
  <si>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</si>
  <si>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</si>
  <si>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</si>
  <si>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</si>
  <si>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</si>
  <si>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</si>
  <si>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</si>
  <si>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</si>
  <si>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</si>
  <si>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</si>
  <si>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</si>
  <si>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</si>
  <si>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</si>
  <si>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</si>
  <si>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</si>
  <si>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</si>
  <si>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</si>
  <si>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</si>
  <si>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</si>
  <si>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</si>
  <si>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</si>
  <si>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</si>
  <si>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</si>
  <si>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</si>
  <si>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</si>
  <si>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</si>
  <si>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</si>
  <si>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</si>
  <si>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</si>
  <si>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</si>
  <si>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</si>
  <si>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</si>
  <si>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</si>
  <si>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</si>
  <si>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</si>
  <si>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</si>
  <si>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</si>
  <si>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</si>
  <si>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</si>
  <si>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</si>
  <si>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</si>
  <si>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</si>
  <si>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</si>
  <si>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</si>
  <si>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</si>
  <si>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</si>
  <si>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</si>
  <si>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</si>
  <si>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</si>
  <si>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</si>
  <si>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</si>
  <si>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</si>
  <si>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</si>
  <si>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</si>
  <si>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</si>
  <si>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</si>
  <si>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</si>
  <si>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</si>
  <si>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</si>
  <si>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</si>
  <si>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</si>
  <si>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</si>
  <si>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</si>
  <si>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</si>
  <si>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</si>
  <si>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</si>
  <si>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</si>
  <si>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</si>
  <si>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</si>
  <si>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</si>
  <si>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</si>
  <si>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</si>
  <si>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</si>
  <si>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</si>
  <si>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</si>
  <si>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</si>
  <si>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</si>
  <si>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</si>
  <si>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</si>
  <si>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</si>
  <si>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</si>
  <si>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</si>
  <si>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</si>
  <si>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</si>
  <si>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</si>
  <si>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</si>
  <si>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</si>
  <si>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</si>
  <si>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</si>
  <si>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</si>
  <si>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</si>
  <si>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</si>
  <si>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</si>
  <si>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</si>
  <si>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</si>
  <si>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</si>
  <si>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</si>
  <si>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</si>
  <si>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</si>
  <si>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</si>
  <si>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</si>
  <si>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</si>
  <si>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</si>
  <si>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</si>
  <si>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</si>
  <si>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</si>
  <si>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</si>
  <si>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</si>
  <si>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</si>
  <si>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</si>
  <si>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</si>
  <si>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</si>
  <si>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</si>
  <si>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</si>
  <si>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</si>
  <si>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</si>
  <si>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</si>
  <si>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</si>
  <si>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</si>
  <si>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</si>
  <si>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</si>
  <si>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</si>
  <si>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</si>
  <si>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</si>
  <si>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</si>
  <si>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</si>
  <si>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</si>
  <si>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</si>
  <si>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</si>
  <si>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</si>
  <si>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</si>
  <si>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</si>
  <si>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</si>
  <si>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</si>
  <si>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</si>
  <si>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</si>
  <si>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</si>
  <si>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</si>
  <si>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</si>
  <si>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</si>
  <si>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</si>
  <si>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</si>
  <si>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</si>
  <si>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</si>
  <si>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</si>
  <si>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</si>
  <si>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</si>
  <si>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</si>
  <si>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</si>
  <si>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</si>
  <si>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</si>
  <si>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</si>
  <si>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</si>
  <si>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</si>
  <si>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</si>
  <si>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</si>
  <si>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</si>
  <si>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</si>
  <si>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</si>
  <si>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</si>
  <si>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</si>
  <si>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</si>
  <si>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</si>
  <si>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</si>
  <si>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</si>
  <si>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</si>
  <si>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</si>
  <si>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</si>
  <si>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</si>
  <si>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</si>
  <si>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</si>
  <si>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</si>
  <si>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</si>
  <si>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</si>
  <si>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</si>
  <si>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</si>
  <si>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</si>
  <si>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</si>
  <si>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</si>
  <si>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</si>
  <si>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</si>
  <si>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</si>
  <si>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</si>
  <si>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</si>
  <si>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</si>
  <si>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</si>
  <si>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</si>
  <si>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</si>
  <si>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</si>
  <si>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</si>
  <si>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</si>
  <si>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</si>
  <si>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</si>
  <si>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</si>
  <si>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</si>
  <si>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</si>
  <si>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</si>
  <si>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</si>
  <si>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</si>
  <si>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</si>
  <si>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</si>
  <si>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</si>
  <si>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</si>
  <si>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</si>
  <si>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</si>
  <si>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</si>
  <si>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</si>
  <si>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</si>
  <si>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</si>
  <si>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</si>
  <si>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</si>
  <si>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</si>
  <si>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</si>
  <si>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</si>
  <si>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</si>
  <si>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</si>
  <si>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</si>
  <si>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</si>
  <si>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</si>
  <si>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</si>
  <si>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</si>
  <si>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</si>
  <si>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</si>
  <si>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</si>
  <si>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</si>
  <si>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</si>
  <si>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</si>
  <si>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</si>
  <si>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</si>
  <si>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</si>
  <si>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</si>
  <si>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</si>
  <si>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</si>
  <si>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</si>
  <si>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</si>
  <si>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</si>
  <si>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</si>
  <si>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</si>
  <si>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</si>
  <si>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</si>
  <si>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</si>
  <si>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</si>
  <si>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</si>
  <si>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</si>
  <si>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</si>
  <si>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</si>
  <si>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</si>
  <si>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</si>
  <si>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</si>
  <si>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</si>
  <si>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</si>
  <si>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</si>
  <si>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</si>
  <si>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</si>
  <si>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</si>
  <si>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</si>
  <si>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</si>
  <si>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</si>
  <si>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</si>
  <si>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</si>
  <si>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</si>
  <si>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</si>
  <si>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</si>
  <si>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</si>
  <si>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</si>
  <si>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</si>
  <si>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</si>
  <si>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</si>
  <si>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</si>
  <si>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</si>
  <si>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</si>
  <si>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</si>
  <si>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</si>
  <si>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</si>
  <si>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</si>
  <si>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</si>
  <si>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</si>
  <si>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</si>
  <si>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</si>
  <si>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</si>
  <si>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</si>
  <si>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</si>
  <si>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</si>
  <si>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</si>
  <si>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</si>
  <si>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</si>
  <si>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</si>
  <si>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</si>
  <si>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</si>
  <si>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</si>
  <si>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</si>
  <si>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</si>
  <si>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</si>
  <si>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</si>
  <si>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</si>
  <si>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</si>
  <si>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</si>
  <si>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</si>
  <si>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</si>
  <si>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</si>
  <si>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</si>
  <si>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</si>
  <si>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</si>
  <si>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</si>
  <si>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</si>
  <si>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</si>
  <si>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</si>
  <si>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</si>
  <si>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</si>
  <si>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</si>
  <si>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</si>
  <si>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</si>
  <si>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</si>
  <si>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</si>
  <si>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</si>
  <si>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</si>
  <si>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</si>
  <si>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</si>
  <si>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</si>
  <si>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</si>
  <si>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</si>
  <si>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</si>
  <si>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</si>
  <si>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</si>
  <si>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</si>
  <si>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</si>
  <si>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</si>
  <si>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</si>
  <si>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</si>
  <si>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</si>
  <si>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</si>
  <si>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</si>
  <si>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</si>
  <si>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</si>
  <si>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</si>
  <si>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</si>
  <si>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</si>
  <si>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</si>
  <si>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</si>
  <si>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</si>
  <si>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</si>
  <si>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</si>
  <si>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</si>
  <si>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</si>
  <si>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</si>
  <si>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</si>
  <si>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</si>
  <si>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</si>
  <si>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</si>
  <si>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</si>
  <si>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</si>
  <si>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</si>
  <si>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</si>
  <si>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</si>
  <si>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</si>
  <si>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</si>
  <si>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</si>
  <si>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</si>
  <si>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</si>
  <si>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</si>
  <si>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</si>
  <si>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</si>
  <si>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</si>
  <si>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</si>
  <si>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</si>
  <si>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</si>
  <si>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</si>
  <si>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</si>
  <si>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</si>
  <si>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</si>
  <si>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</si>
  <si>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</si>
  <si>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</si>
  <si>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</si>
  <si>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</si>
  <si>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</si>
  <si>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</si>
  <si>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</si>
  <si>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</si>
  <si>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</si>
  <si>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</si>
  <si>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</si>
  <si>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</si>
  <si>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</si>
  <si>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</si>
  <si>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</si>
  <si>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</si>
  <si>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</si>
  <si>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</si>
  <si>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</si>
  <si>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</si>
  <si>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</si>
  <si>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</si>
  <si>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</si>
  <si>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</si>
  <si>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</si>
  <si>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</si>
  <si>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</si>
  <si>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</si>
  <si>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</si>
  <si>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</si>
  <si>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</si>
  <si>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</si>
  <si>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</si>
  <si>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</si>
  <si>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</si>
  <si>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</si>
  <si>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</si>
  <si>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</si>
  <si>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</si>
  <si>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</si>
  <si>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</si>
  <si>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</si>
  <si>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</si>
  <si>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</si>
  <si>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</si>
  <si>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</si>
  <si>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</si>
  <si>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</si>
  <si>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</si>
  <si>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</si>
  <si>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</si>
  <si>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</si>
  <si>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</si>
  <si>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</si>
  <si>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</si>
  <si>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</si>
  <si>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</si>
  <si>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</si>
  <si>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</si>
  <si>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</si>
  <si>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</si>
  <si>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</si>
  <si>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</si>
  <si>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</si>
  <si>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</si>
  <si>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</si>
  <si>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</si>
  <si>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</si>
  <si>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</si>
  <si>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</si>
  <si>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</si>
  <si>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</si>
  <si>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</si>
  <si>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</si>
  <si>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</si>
  <si>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</si>
  <si>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</si>
  <si>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</si>
  <si>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</si>
  <si>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</si>
  <si>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</si>
  <si>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</si>
  <si>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</si>
  <si>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</si>
  <si>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</si>
  <si>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</si>
  <si>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</si>
  <si>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</si>
  <si>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</si>
  <si>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</si>
  <si>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</si>
  <si>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</si>
  <si>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</si>
  <si>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</si>
  <si>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</si>
  <si>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</si>
  <si>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</si>
  <si>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</si>
  <si>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</si>
  <si>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</si>
  <si>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</si>
  <si>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</si>
  <si>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</si>
  <si>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</si>
  <si>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</si>
  <si>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</si>
  <si>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</si>
  <si>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</si>
  <si>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</si>
  <si>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</si>
  <si>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</si>
  <si>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</si>
  <si>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</si>
  <si>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</si>
  <si>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</si>
  <si>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</si>
  <si>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</si>
  <si>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</si>
  <si>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</si>
  <si>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</si>
  <si>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</si>
  <si>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</si>
  <si>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</si>
  <si>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</si>
  <si>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</si>
  <si>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</si>
  <si>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</si>
  <si>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</si>
  <si>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</si>
  <si>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</si>
  <si>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</si>
  <si>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</si>
  <si>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</si>
  <si>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</si>
  <si>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</si>
  <si>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</si>
  <si>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</si>
  <si>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</si>
  <si>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</si>
  <si>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</si>
  <si>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</si>
  <si>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</si>
  <si>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</si>
  <si>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</si>
  <si>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</si>
  <si>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</si>
  <si>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</si>
  <si>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</si>
  <si>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</si>
  <si>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</si>
  <si>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</si>
  <si>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</si>
  <si>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</si>
  <si>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</si>
  <si>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</si>
  <si>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</si>
  <si>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</si>
  <si>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</si>
  <si>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</si>
  <si>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</si>
  <si>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</si>
  <si>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</si>
  <si>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</si>
  <si>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</si>
  <si>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</si>
  <si>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</si>
  <si>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</si>
  <si>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</si>
  <si>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</si>
  <si>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</si>
  <si>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</si>
  <si>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</si>
  <si>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</si>
  <si>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</si>
  <si>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</si>
  <si>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</si>
  <si>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</si>
  <si>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</si>
  <si>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</si>
  <si>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</si>
  <si>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</si>
  <si>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</si>
  <si>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</si>
  <si>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</si>
  <si>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</si>
  <si>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</si>
  <si>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</si>
  <si>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</si>
  <si>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</si>
  <si>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</si>
  <si>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</si>
  <si>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</si>
  <si>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</si>
  <si>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</si>
  <si>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</si>
  <si>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</si>
  <si>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</si>
  <si>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</si>
  <si>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</si>
  <si>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</si>
  <si>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</si>
  <si>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</si>
  <si>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</si>
  <si>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</si>
  <si>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</si>
  <si>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</si>
  <si>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</si>
  <si>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</si>
  <si>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</si>
  <si>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</si>
  <si>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</si>
  <si>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</si>
  <si>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</si>
  <si>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</si>
  <si>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</si>
  <si>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</si>
  <si>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</si>
  <si>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</si>
  <si>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</si>
  <si>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</si>
  <si>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</si>
  <si>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</si>
  <si>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</si>
  <si>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</si>
  <si>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</si>
  <si>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</si>
  <si>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</si>
  <si>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</si>
  <si>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</si>
  <si>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</si>
  <si>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</si>
  <si>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</si>
  <si>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</si>
  <si>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</si>
  <si>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</si>
  <si>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</si>
  <si>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</si>
  <si>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</si>
  <si>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</si>
  <si>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</si>
  <si>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</si>
  <si>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</si>
  <si>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</si>
  <si>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</si>
  <si>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</si>
  <si>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</si>
  <si>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</si>
  <si>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</si>
  <si>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</si>
  <si>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</si>
  <si>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</si>
  <si>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</si>
  <si>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</si>
  <si>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</si>
  <si>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</si>
  <si>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</si>
  <si>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</si>
  <si>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</si>
  <si>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</si>
  <si>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</si>
  <si>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</si>
  <si>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</si>
  <si>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</si>
  <si>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</si>
  <si>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</si>
  <si>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</si>
  <si>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</si>
  <si>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</si>
  <si>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</si>
  <si>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</si>
  <si>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</si>
  <si>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</si>
  <si>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</si>
  <si>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</si>
  <si>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</si>
  <si>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</si>
  <si>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</si>
  <si>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</si>
  <si>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</si>
  <si>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</si>
  <si>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</si>
  <si>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</si>
  <si>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</si>
  <si>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</si>
  <si>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</si>
  <si>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</si>
  <si>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</si>
  <si>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</si>
  <si>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</si>
  <si>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</si>
  <si>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</si>
  <si>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</si>
  <si>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</si>
  <si>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</si>
  <si>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</si>
  <si>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</si>
  <si>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</si>
  <si>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</si>
  <si>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</si>
  <si>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</si>
  <si>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</si>
  <si>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</si>
  <si>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</si>
  <si>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</si>
  <si>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</si>
  <si>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</si>
  <si>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</si>
  <si>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</si>
  <si>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</si>
  <si>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</si>
  <si>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</si>
  <si>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</si>
  <si>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</si>
  <si>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</si>
  <si>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</si>
  <si>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</si>
  <si>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</si>
  <si>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</si>
  <si>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</si>
  <si>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</si>
  <si>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</si>
  <si>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</si>
  <si>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</si>
  <si>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</si>
  <si>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</si>
  <si>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</si>
  <si>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</si>
  <si>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</si>
  <si>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</si>
  <si>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</si>
  <si>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</si>
  <si>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</si>
  <si>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</si>
  <si>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</si>
  <si>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</si>
  <si>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</si>
  <si>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</si>
  <si>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</si>
  <si>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</si>
  <si>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</si>
  <si>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</si>
  <si>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</si>
  <si>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</si>
  <si>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</si>
  <si>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</si>
  <si>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</si>
  <si>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</si>
  <si>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</si>
  <si>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</si>
  <si>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</si>
  <si>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</si>
  <si>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</si>
  <si>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</si>
  <si>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</si>
  <si>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</si>
  <si>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</si>
  <si>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</si>
  <si>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</si>
  <si>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</si>
  <si>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</si>
  <si>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</si>
  <si>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</si>
  <si>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</si>
  <si>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</si>
  <si>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</si>
  <si>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</si>
  <si>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</si>
  <si>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</si>
  <si>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</si>
  <si>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</si>
  <si>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</si>
  <si>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</si>
  <si>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</si>
  <si>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</si>
  <si>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</si>
  <si>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</si>
  <si>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</si>
  <si>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</si>
  <si>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</si>
  <si>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</si>
  <si>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</si>
  <si>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</si>
  <si>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</si>
  <si>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</si>
  <si>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</si>
  <si>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</si>
  <si>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</si>
  <si>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</si>
  <si>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</si>
  <si>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</si>
  <si>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</si>
  <si>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</si>
  <si>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</si>
  <si>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</si>
  <si>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</si>
  <si>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</si>
  <si>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</si>
  <si>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</si>
  <si>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</si>
  <si>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</si>
  <si>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</si>
  <si>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</si>
  <si>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</si>
  <si>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</si>
  <si>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</si>
  <si>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</si>
  <si>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</si>
  <si>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</si>
  <si>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</si>
  <si>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</si>
  <si>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</si>
  <si>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</si>
  <si>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</si>
  <si>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</si>
  <si>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</si>
  <si>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</si>
  <si>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</si>
  <si>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</si>
  <si>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</si>
  <si>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</si>
  <si>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</si>
  <si>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</si>
  <si>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</si>
  <si>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</si>
  <si>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</si>
  <si>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</si>
  <si>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</si>
  <si>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</si>
  <si>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</si>
  <si>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</si>
  <si>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</si>
  <si>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</si>
  <si>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</si>
  <si>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</si>
  <si>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</si>
  <si>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</si>
  <si>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</si>
  <si>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</si>
  <si>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</si>
  <si>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</si>
  <si>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</si>
  <si>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</si>
  <si>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</si>
  <si>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</si>
  <si>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</si>
  <si>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</si>
  <si>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</si>
  <si>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</si>
  <si>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</si>
  <si>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</si>
  <si>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</si>
  <si>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</si>
  <si>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</si>
  <si>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</si>
  <si>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</si>
  <si>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</si>
  <si>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</si>
  <si>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</si>
  <si>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</si>
  <si>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</si>
  <si>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</si>
  <si>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</si>
  <si>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</si>
  <si>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</si>
  <si>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</si>
  <si>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</si>
  <si>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</si>
  <si>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</si>
  <si>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</si>
  <si>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</si>
  <si>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</si>
  <si>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</si>
  <si>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</si>
  <si>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</si>
  <si>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</si>
  <si>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</si>
  <si>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</si>
  <si>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</si>
  <si>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</si>
  <si>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</si>
  <si>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</si>
  <si>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</si>
  <si>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</si>
  <si>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</si>
  <si>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</si>
  <si>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</si>
  <si>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</si>
  <si>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</si>
  <si>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</si>
  <si>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</si>
  <si>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</si>
  <si>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</si>
  <si>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</si>
  <si>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</si>
  <si>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</si>
  <si>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</si>
  <si>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</si>
  <si>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</si>
  <si>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</si>
  <si>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</si>
  <si>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</si>
  <si>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</si>
  <si>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</si>
  <si>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</si>
  <si>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</si>
  <si>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</si>
  <si>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</si>
  <si>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</si>
  <si>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</si>
  <si>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</si>
  <si>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</si>
  <si>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</si>
  <si>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</si>
  <si>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</si>
  <si>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</si>
  <si>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</si>
  <si>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</si>
  <si>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</si>
  <si>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</si>
  <si>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</si>
  <si>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</si>
  <si>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</si>
  <si>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</si>
  <si>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</si>
  <si>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</si>
  <si>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</si>
  <si>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</si>
  <si>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</si>
  <si>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</si>
  <si>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</si>
  <si>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</si>
  <si>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</si>
  <si>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</si>
  <si>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</si>
  <si>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</si>
  <si>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</si>
  <si>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</si>
  <si>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</si>
  <si>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</si>
  <si>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</si>
  <si>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</si>
  <si>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</si>
  <si>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</si>
  <si>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</si>
  <si>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</si>
  <si>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</si>
  <si>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</si>
  <si>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</si>
  <si>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</si>
  <si>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</si>
  <si>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</si>
  <si>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</si>
  <si>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</si>
  <si>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</si>
  <si>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</si>
  <si>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</si>
  <si>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</si>
  <si>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</si>
  <si>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</si>
  <si>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</si>
  <si>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</si>
  <si>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</si>
  <si>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</si>
  <si>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</si>
  <si>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</si>
  <si>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</si>
  <si>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</si>
  <si>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</si>
  <si>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</si>
  <si>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</si>
  <si>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</si>
  <si>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</si>
  <si>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</si>
  <si>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</si>
  <si>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</si>
  <si>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</si>
  <si>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</si>
  <si>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</si>
  <si>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</si>
  <si>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</si>
  <si>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</si>
  <si>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</si>
  <si>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</si>
  <si>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</si>
  <si>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</si>
  <si>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</si>
  <si>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</si>
  <si>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</si>
  <si>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</si>
  <si>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</si>
  <si>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</si>
  <si>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</si>
  <si>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</si>
  <si>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</si>
  <si>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</si>
  <si>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</si>
  <si>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</si>
  <si>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</si>
  <si>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</si>
  <si>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</si>
  <si>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</si>
  <si>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</si>
  <si>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</si>
  <si>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</si>
  <si>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</si>
  <si>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</si>
  <si>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</si>
  <si>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</si>
  <si>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</si>
  <si>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</si>
  <si>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</si>
  <si>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</si>
  <si>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</si>
  <si>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</si>
  <si>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</si>
  <si>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</si>
  <si>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</si>
  <si>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</si>
  <si>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</si>
  <si>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</si>
  <si>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</si>
  <si>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</si>
  <si>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</si>
  <si>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</si>
  <si>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</si>
  <si>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</si>
  <si>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</si>
  <si>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</si>
  <si>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</si>
  <si>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</si>
  <si>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</si>
  <si>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</si>
  <si>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</si>
  <si>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</si>
  <si>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</si>
  <si>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</si>
  <si>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</si>
  <si>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</si>
  <si>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</si>
  <si>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</si>
  <si>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</si>
  <si>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</si>
  <si>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</si>
  <si>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</si>
  <si>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</si>
  <si>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</si>
  <si>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</si>
  <si>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</si>
  <si>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</si>
  <si>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</si>
  <si>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</si>
  <si>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</si>
  <si>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</si>
  <si>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</si>
  <si>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</si>
  <si>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</si>
  <si>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</si>
  <si>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</si>
  <si>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</si>
  <si>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</si>
  <si>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</si>
  <si>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</si>
  <si>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</si>
  <si>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</si>
  <si>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</si>
  <si>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</si>
  <si>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</si>
  <si>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</si>
  <si>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</si>
  <si>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</si>
  <si>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</si>
  <si>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</si>
  <si>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</si>
  <si>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</si>
  <si>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</si>
  <si>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</si>
  <si>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</si>
  <si>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</si>
  <si>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</si>
  <si>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</si>
  <si>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</si>
  <si>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</si>
  <si>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</si>
  <si>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</si>
  <si>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</si>
  <si>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</si>
  <si>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</si>
  <si>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</si>
  <si>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</si>
  <si>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</si>
  <si>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</si>
  <si>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</si>
  <si>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</si>
  <si>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</si>
  <si>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</si>
  <si>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</si>
  <si>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</si>
  <si>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</si>
  <si>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</si>
  <si>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</si>
  <si>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</si>
  <si>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</si>
  <si>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</si>
  <si>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</si>
  <si>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</si>
  <si>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</si>
  <si>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</si>
  <si>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</si>
  <si>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</si>
  <si>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</si>
  <si>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</si>
  <si>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</si>
  <si>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</si>
  <si>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</si>
  <si>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</si>
  <si>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</si>
  <si>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</si>
  <si>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</si>
  <si>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</si>
  <si>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</si>
  <si>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</si>
  <si>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</si>
  <si>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</si>
  <si>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</si>
  <si>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</si>
  <si>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</si>
  <si>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</si>
  <si>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</si>
  <si>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</si>
  <si>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</si>
  <si>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</si>
  <si>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</si>
  <si>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</si>
  <si>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</si>
  <si>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</si>
  <si>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</si>
  <si>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</si>
  <si>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</si>
  <si>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</si>
  <si>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</si>
  <si>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</si>
  <si>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</si>
  <si>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</si>
  <si>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</si>
  <si>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</si>
  <si>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</si>
  <si>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</si>
  <si>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</si>
  <si>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</si>
  <si>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</si>
  <si>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</si>
  <si>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</si>
  <si>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</si>
  <si>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</si>
  <si>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</si>
  <si>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</si>
  <si>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</si>
  <si>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</si>
  <si>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</si>
  <si>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</si>
  <si>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</si>
  <si>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</si>
  <si>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</si>
  <si>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</si>
  <si>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</si>
  <si>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</si>
  <si>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</si>
  <si>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</si>
  <si>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</si>
  <si>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</si>
  <si>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</si>
  <si>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</si>
  <si>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</si>
  <si>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</si>
  <si>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</si>
  <si>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</si>
  <si>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</si>
  <si>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</si>
  <si>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</si>
  <si>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</si>
  <si>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</si>
  <si>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</si>
  <si>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</si>
  <si>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</si>
  <si>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</si>
  <si>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</si>
  <si>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</si>
  <si>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</si>
  <si>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</si>
  <si>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</si>
  <si>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</si>
  <si>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</si>
  <si>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</si>
  <si>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</si>
  <si>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</si>
  <si>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</si>
  <si>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</si>
  <si>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</si>
  <si>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</si>
  <si>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</si>
  <si>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</si>
  <si>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</si>
  <si>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</si>
  <si>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</si>
  <si>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</si>
  <si>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</si>
  <si>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</si>
  <si>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</si>
  <si>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</si>
  <si>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</si>
  <si>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</si>
  <si>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</si>
  <si>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</si>
  <si>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</si>
  <si>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</si>
  <si>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</si>
  <si>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</si>
  <si>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</si>
  <si>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</si>
  <si>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</si>
  <si>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</si>
  <si>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</si>
  <si>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</si>
  <si>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</si>
  <si>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</si>
  <si>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</si>
  <si>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</si>
  <si>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</si>
  <si>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</si>
  <si>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</si>
  <si>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</si>
  <si>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</si>
  <si>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</si>
  <si>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</si>
  <si>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</si>
  <si>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</si>
  <si>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</si>
  <si>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</si>
  <si>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</si>
  <si>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</si>
  <si>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</si>
  <si>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</si>
  <si>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</si>
  <si>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</si>
  <si>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</si>
  <si>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</si>
  <si>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</si>
  <si>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</si>
  <si>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</si>
  <si>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</si>
  <si>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</si>
  <si>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</si>
  <si>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</si>
  <si>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</si>
  <si>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</si>
  <si>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</si>
  <si>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</si>
  <si>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</si>
  <si>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</si>
  <si>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</si>
  <si>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</si>
  <si>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</si>
  <si>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</si>
  <si>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</si>
  <si>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</si>
  <si>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</si>
  <si>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</si>
  <si>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</si>
  <si>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</si>
  <si>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</si>
  <si>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</si>
  <si>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</si>
  <si>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</si>
  <si>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</si>
  <si>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</si>
  <si>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</si>
  <si>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</si>
  <si>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</si>
  <si>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</si>
  <si>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</si>
  <si>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</si>
  <si>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</si>
  <si>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</si>
  <si>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</si>
  <si>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</si>
  <si>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</si>
  <si>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</si>
  <si>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</si>
  <si>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</si>
  <si>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</si>
  <si>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</si>
  <si>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</si>
  <si>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</si>
  <si>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</si>
  <si>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</si>
  <si>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</si>
  <si>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</si>
  <si>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</si>
  <si>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</si>
  <si>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</si>
  <si>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</si>
  <si>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</si>
  <si>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</si>
  <si>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</si>
  <si>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</si>
  <si>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</si>
  <si>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</si>
  <si>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</si>
  <si>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</si>
  <si>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</si>
  <si>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</si>
  <si>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</si>
  <si>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</si>
  <si>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</si>
  <si>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</si>
  <si>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</si>
  <si>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</si>
  <si>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</si>
  <si>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</si>
  <si>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</si>
  <si>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</si>
  <si>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</si>
  <si>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</si>
  <si>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</si>
  <si>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</si>
  <si>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</si>
  <si>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</si>
  <si>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</si>
  <si>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</si>
  <si>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</si>
  <si>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</si>
  <si>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</si>
  <si>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</si>
  <si>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</si>
  <si>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</si>
  <si>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</si>
  <si>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</si>
  <si>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</si>
  <si>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</si>
  <si>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</si>
  <si>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</si>
  <si>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</si>
  <si>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</si>
  <si>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</si>
  <si>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</si>
  <si>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</si>
  <si>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</si>
  <si>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</si>
  <si>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</si>
  <si>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</si>
  <si>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</si>
  <si>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</si>
  <si>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</si>
  <si>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</si>
  <si>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</si>
  <si>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</si>
  <si>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</si>
  <si>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</si>
  <si>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</si>
  <si>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</si>
  <si>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</si>
  <si>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</si>
  <si>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</si>
  <si>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</si>
  <si>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</si>
  <si>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</si>
  <si>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</si>
  <si>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</si>
  <si>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</si>
  <si>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</si>
  <si>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</si>
  <si>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</si>
  <si>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</si>
  <si>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</si>
  <si>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</si>
  <si>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</si>
  <si>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</si>
  <si>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</si>
  <si>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</si>
  <si>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</si>
  <si>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</si>
  <si>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</si>
  <si>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</si>
  <si>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</si>
  <si>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</si>
  <si>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</si>
  <si>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</si>
  <si>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</si>
  <si>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</si>
  <si>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</si>
  <si>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</si>
  <si>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</si>
  <si>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</si>
  <si>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</si>
  <si>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</si>
  <si>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</si>
  <si>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</si>
  <si>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</si>
  <si>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</si>
  <si>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</si>
  <si>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</si>
  <si>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</si>
  <si>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</si>
  <si>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</si>
  <si>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</si>
  <si>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</si>
  <si>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</si>
  <si>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</si>
  <si>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</si>
  <si>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</si>
  <si>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</si>
  <si>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</si>
  <si>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</si>
  <si>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</si>
  <si>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</si>
  <si>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</si>
  <si>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</si>
  <si>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</si>
  <si>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</si>
  <si>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</si>
  <si>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</si>
  <si>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</si>
  <si>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</si>
  <si>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</si>
  <si>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</si>
  <si>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</si>
  <si>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</si>
  <si>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</si>
  <si>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</si>
  <si>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</si>
  <si>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</si>
  <si>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</si>
  <si>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</si>
  <si>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</si>
  <si>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</si>
  <si>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</si>
  <si>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</si>
  <si>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</si>
  <si>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</si>
  <si>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</si>
  <si>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</si>
  <si>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</si>
  <si>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</si>
  <si>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</si>
  <si>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</si>
  <si>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</si>
  <si>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</si>
  <si>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</si>
  <si>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</si>
  <si>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</si>
  <si>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</si>
  <si>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</si>
  <si>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</si>
  <si>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</si>
  <si>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</si>
  <si>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</si>
  <si>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</si>
  <si>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</si>
  <si>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</si>
  <si>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</si>
  <si>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</si>
  <si>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</si>
  <si>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</si>
  <si>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</si>
  <si>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</si>
  <si>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</si>
  <si>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</si>
  <si>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</si>
  <si>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</si>
  <si>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</si>
  <si>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</si>
  <si>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</si>
  <si>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</si>
  <si>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</si>
  <si>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</si>
  <si>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</si>
  <si>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</si>
  <si>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</si>
  <si>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</si>
  <si>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</si>
  <si>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</si>
  <si>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</si>
  <si>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</si>
  <si>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</si>
  <si>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</si>
  <si>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</si>
  <si>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</si>
  <si>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</si>
  <si>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</si>
  <si>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</si>
  <si>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</si>
  <si>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</si>
  <si>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</si>
  <si>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</si>
  <si>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</si>
  <si>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</si>
  <si>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</si>
  <si>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</si>
  <si>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</si>
  <si>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</si>
  <si>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</si>
  <si>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</si>
  <si>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</si>
  <si>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</si>
  <si>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</si>
  <si>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</si>
  <si>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</si>
  <si>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</si>
  <si>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</si>
  <si>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</si>
  <si>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</si>
  <si>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</si>
  <si>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</si>
  <si>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</si>
  <si>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</si>
  <si>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</si>
  <si>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</si>
  <si>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</si>
  <si>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</si>
  <si>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</si>
  <si>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</si>
  <si>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</si>
  <si>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</si>
  <si>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</si>
  <si>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</si>
  <si>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</si>
  <si>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</si>
  <si>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</si>
  <si>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</si>
  <si>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</si>
  <si>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</si>
  <si>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</si>
  <si>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</si>
  <si>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</si>
  <si>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</si>
  <si>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</si>
  <si>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</si>
  <si>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</si>
  <si>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</si>
  <si>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</si>
  <si>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</si>
  <si>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</si>
  <si>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</si>
  <si>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</si>
  <si>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</si>
  <si>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</si>
  <si>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</si>
  <si>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</si>
  <si>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</si>
  <si>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</si>
  <si>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</si>
  <si>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</si>
  <si>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</si>
  <si>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</si>
  <si>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</si>
  <si>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</si>
  <si>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</si>
  <si>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</si>
  <si>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</si>
  <si>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</si>
  <si>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</si>
  <si>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</si>
  <si>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</si>
  <si>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</si>
  <si>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</si>
  <si>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</si>
  <si>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</si>
  <si>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</si>
  <si>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</si>
  <si>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</si>
  <si>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</si>
  <si>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</si>
  <si>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</si>
  <si>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</si>
  <si>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</si>
  <si>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</si>
  <si>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</si>
  <si>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</si>
  <si>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</si>
  <si>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</si>
  <si>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</si>
  <si>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</si>
  <si>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</si>
  <si>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</si>
  <si>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</si>
  <si>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</si>
  <si>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</si>
  <si>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</si>
  <si>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</si>
  <si>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</si>
  <si>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</si>
  <si>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</si>
  <si>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</si>
  <si>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</si>
  <si>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</si>
  <si>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</si>
  <si>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</si>
  <si>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</si>
  <si>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</si>
  <si>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</si>
  <si>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</si>
  <si>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</si>
  <si>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</si>
  <si>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</si>
  <si>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</si>
  <si>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</si>
  <si>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</si>
  <si>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</si>
  <si>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</si>
  <si>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</si>
  <si>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</si>
  <si>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</si>
  <si>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</si>
  <si>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</si>
  <si>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</si>
  <si>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</si>
  <si>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</si>
  <si>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</si>
  <si>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</si>
  <si>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</si>
  <si>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</si>
  <si>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</si>
  <si>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</si>
  <si>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</si>
  <si>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</si>
  <si>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</si>
  <si>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</si>
  <si>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</si>
  <si>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</si>
  <si>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</si>
  <si>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</si>
  <si>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</si>
  <si>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</si>
  <si>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吴薇</t>
  </si>
  <si>
    <t>崔锴</t>
  </si>
  <si>
    <t>抵押</t>
  </si>
  <si>
    <t>房地产抵押价值</t>
  </si>
  <si>
    <t>北京市</t>
  </si>
  <si>
    <t>北京市海淀区双新村棚户区改造项目2603-003-1地块R2二类居住用地</t>
  </si>
  <si>
    <t>企业</t>
  </si>
  <si>
    <t>北京越华房地产开发有限公司</t>
  </si>
  <si>
    <t>《不动产权证书》</t>
  </si>
  <si>
    <t>复印件</t>
  </si>
  <si>
    <t>居住项目</t>
  </si>
  <si>
    <t>无</t>
  </si>
  <si>
    <t>否</t>
  </si>
  <si>
    <t>在建</t>
  </si>
  <si>
    <t>通路</t>
  </si>
  <si>
    <t>通电</t>
  </si>
  <si>
    <t>通讯</t>
  </si>
  <si>
    <t>通上水</t>
  </si>
  <si>
    <t>通下水</t>
  </si>
  <si>
    <t>通热</t>
  </si>
  <si>
    <t>燃气</t>
  </si>
  <si>
    <r>
      <t>1#</t>
    </r>
    <r>
      <rPr>
        <sz val="10"/>
        <color indexed="8"/>
        <rFont val="宋体"/>
        <family val="3"/>
        <charset val="134"/>
      </rPr>
      <t>住宅楼</t>
    </r>
    <phoneticPr fontId="3" type="noConversion"/>
  </si>
  <si>
    <t>是</t>
  </si>
  <si>
    <t>地上</t>
  </si>
  <si>
    <t>住宅</t>
  </si>
  <si>
    <t>地下</t>
  </si>
  <si>
    <r>
      <t>2#</t>
    </r>
    <r>
      <rPr>
        <sz val="10"/>
        <color indexed="8"/>
        <rFont val="宋体"/>
        <family val="3"/>
        <charset val="134"/>
      </rPr>
      <t>住宅楼</t>
    </r>
    <phoneticPr fontId="3" type="noConversion"/>
  </si>
  <si>
    <r>
      <t>3#</t>
    </r>
    <r>
      <rPr>
        <sz val="10"/>
        <color indexed="8"/>
        <rFont val="宋体"/>
        <family val="3"/>
        <charset val="134"/>
      </rPr>
      <t>住宅楼</t>
    </r>
    <phoneticPr fontId="3" type="noConversion"/>
  </si>
  <si>
    <r>
      <t>4#住宅楼</t>
    </r>
    <r>
      <rPr>
        <sz val="10"/>
        <color indexed="8"/>
        <rFont val="宋体"/>
        <family val="3"/>
        <charset val="134"/>
      </rPr>
      <t/>
    </r>
  </si>
  <si>
    <r>
      <t>5#住宅楼</t>
    </r>
    <r>
      <rPr>
        <sz val="10"/>
        <color indexed="8"/>
        <rFont val="宋体"/>
        <family val="3"/>
        <charset val="134"/>
      </rPr>
      <t/>
    </r>
  </si>
  <si>
    <r>
      <t>6#住宅楼</t>
    </r>
    <r>
      <rPr>
        <sz val="10"/>
        <color indexed="8"/>
        <rFont val="宋体"/>
        <family val="3"/>
        <charset val="134"/>
      </rPr>
      <t/>
    </r>
  </si>
  <si>
    <r>
      <t>7#住宅楼</t>
    </r>
    <r>
      <rPr>
        <sz val="10"/>
        <color indexed="8"/>
        <rFont val="宋体"/>
        <family val="3"/>
        <charset val="134"/>
      </rPr>
      <t/>
    </r>
  </si>
  <si>
    <r>
      <t>9#住宅楼</t>
    </r>
    <r>
      <rPr>
        <sz val="10"/>
        <color indexed="8"/>
        <rFont val="宋体"/>
        <family val="3"/>
        <charset val="134"/>
      </rPr>
      <t/>
    </r>
  </si>
  <si>
    <r>
      <t>10#住宅楼</t>
    </r>
    <r>
      <rPr>
        <sz val="10"/>
        <color indexed="8"/>
        <rFont val="宋体"/>
        <family val="3"/>
        <charset val="134"/>
      </rPr>
      <t/>
    </r>
  </si>
  <si>
    <r>
      <t>11#住宅楼</t>
    </r>
    <r>
      <rPr>
        <sz val="10"/>
        <color indexed="8"/>
        <rFont val="宋体"/>
        <family val="3"/>
        <charset val="134"/>
      </rPr>
      <t/>
    </r>
  </si>
  <si>
    <r>
      <t>12#住宅楼</t>
    </r>
    <r>
      <rPr>
        <sz val="10"/>
        <color indexed="8"/>
        <rFont val="宋体"/>
        <family val="3"/>
        <charset val="134"/>
      </rPr>
      <t/>
    </r>
  </si>
  <si>
    <r>
      <t>13#住宅楼</t>
    </r>
    <r>
      <rPr>
        <sz val="10"/>
        <color indexed="8"/>
        <rFont val="宋体"/>
        <family val="3"/>
        <charset val="134"/>
      </rPr>
      <t/>
    </r>
  </si>
  <si>
    <r>
      <t>14#住宅楼</t>
    </r>
    <r>
      <rPr>
        <sz val="10"/>
        <color indexed="8"/>
        <rFont val="宋体"/>
        <family val="3"/>
        <charset val="134"/>
      </rPr>
      <t/>
    </r>
  </si>
  <si>
    <r>
      <t>15#住宅楼</t>
    </r>
    <r>
      <rPr>
        <sz val="10"/>
        <color indexed="8"/>
        <rFont val="宋体"/>
        <family val="3"/>
        <charset val="134"/>
      </rPr>
      <t/>
    </r>
  </si>
  <si>
    <r>
      <t>16#住宅楼</t>
    </r>
    <r>
      <rPr>
        <sz val="10"/>
        <color indexed="8"/>
        <rFont val="宋体"/>
        <family val="3"/>
        <charset val="134"/>
      </rPr>
      <t/>
    </r>
  </si>
  <si>
    <r>
      <t>17#住宅楼</t>
    </r>
    <r>
      <rPr>
        <sz val="10"/>
        <color indexed="8"/>
        <rFont val="宋体"/>
        <family val="3"/>
        <charset val="134"/>
      </rPr>
      <t/>
    </r>
  </si>
  <si>
    <r>
      <t>19#住宅楼</t>
    </r>
    <r>
      <rPr>
        <sz val="10"/>
        <color indexed="8"/>
        <rFont val="宋体"/>
        <family val="3"/>
        <charset val="134"/>
      </rPr>
      <t/>
    </r>
  </si>
  <si>
    <r>
      <t>20#住宅楼</t>
    </r>
    <r>
      <rPr>
        <sz val="10"/>
        <color indexed="8"/>
        <rFont val="宋体"/>
        <family val="3"/>
        <charset val="134"/>
      </rPr>
      <t/>
    </r>
  </si>
  <si>
    <r>
      <t>21#住宅楼</t>
    </r>
    <r>
      <rPr>
        <sz val="10"/>
        <color indexed="8"/>
        <rFont val="宋体"/>
        <family val="3"/>
        <charset val="134"/>
      </rPr>
      <t/>
    </r>
  </si>
  <si>
    <r>
      <t>22#住宅楼</t>
    </r>
    <r>
      <rPr>
        <sz val="10"/>
        <color indexed="8"/>
        <rFont val="宋体"/>
        <family val="3"/>
        <charset val="134"/>
      </rPr>
      <t/>
    </r>
  </si>
  <si>
    <r>
      <t>24#住宅楼</t>
    </r>
    <r>
      <rPr>
        <sz val="10"/>
        <color indexed="8"/>
        <rFont val="宋体"/>
        <family val="3"/>
        <charset val="134"/>
      </rPr>
      <t/>
    </r>
  </si>
  <si>
    <r>
      <t>25#住宅楼</t>
    </r>
    <r>
      <rPr>
        <sz val="10"/>
        <color indexed="8"/>
        <rFont val="宋体"/>
        <family val="3"/>
        <charset val="134"/>
      </rPr>
      <t/>
    </r>
  </si>
  <si>
    <r>
      <t>26#住宅楼</t>
    </r>
    <r>
      <rPr>
        <sz val="10"/>
        <color indexed="8"/>
        <rFont val="宋体"/>
        <family val="3"/>
        <charset val="134"/>
      </rPr>
      <t/>
    </r>
  </si>
  <si>
    <r>
      <t>27#住宅楼</t>
    </r>
    <r>
      <rPr>
        <sz val="10"/>
        <color indexed="8"/>
        <rFont val="宋体"/>
        <family val="3"/>
        <charset val="134"/>
      </rPr>
      <t/>
    </r>
  </si>
  <si>
    <r>
      <t>1#</t>
    </r>
    <r>
      <rPr>
        <sz val="11"/>
        <color indexed="8"/>
        <rFont val="宋体"/>
        <family val="3"/>
        <charset val="134"/>
      </rPr>
      <t>地下车库</t>
    </r>
    <phoneticPr fontId="3" type="noConversion"/>
  </si>
  <si>
    <t>车位个数</t>
    <phoneticPr fontId="3" type="noConversion"/>
  </si>
  <si>
    <t>序号</t>
  </si>
  <si>
    <t>楼栋名称</t>
  </si>
  <si>
    <t>单元号</t>
  </si>
  <si>
    <t>房间名称</t>
  </si>
  <si>
    <t>建筑面积</t>
  </si>
  <si>
    <t>业态</t>
  </si>
  <si>
    <t>1#车库</t>
  </si>
  <si>
    <t>10#</t>
  </si>
  <si>
    <t>1#</t>
  </si>
  <si>
    <t>11#</t>
  </si>
  <si>
    <t>12#</t>
  </si>
  <si>
    <t>13#</t>
  </si>
  <si>
    <t>14#</t>
  </si>
  <si>
    <t>15#</t>
  </si>
  <si>
    <t>16#</t>
  </si>
  <si>
    <t>17#</t>
  </si>
  <si>
    <t>19#</t>
  </si>
  <si>
    <t>20#</t>
  </si>
  <si>
    <t>2#</t>
  </si>
  <si>
    <t>21#</t>
  </si>
  <si>
    <t>22#</t>
  </si>
  <si>
    <t>24#</t>
  </si>
  <si>
    <t>25#</t>
  </si>
  <si>
    <t>26#</t>
  </si>
  <si>
    <t>27#</t>
  </si>
  <si>
    <t>3#</t>
  </si>
  <si>
    <t>4#</t>
  </si>
  <si>
    <t>5#</t>
  </si>
  <si>
    <t>6#</t>
  </si>
  <si>
    <t>7#</t>
  </si>
  <si>
    <t>9#</t>
  </si>
  <si>
    <t>1#住宅楼</t>
  </si>
  <si>
    <t>2#住宅楼</t>
  </si>
  <si>
    <t>3#住宅楼</t>
  </si>
  <si>
    <t>4#住宅楼</t>
  </si>
  <si>
    <t>5#住宅楼</t>
  </si>
  <si>
    <t>6#住宅楼</t>
  </si>
  <si>
    <t>7#住宅楼</t>
  </si>
  <si>
    <t>9#住宅楼</t>
  </si>
  <si>
    <t>10#住宅楼</t>
  </si>
  <si>
    <t>11#住宅楼</t>
  </si>
  <si>
    <t>12#住宅楼</t>
  </si>
  <si>
    <t>13#住宅楼</t>
  </si>
  <si>
    <t>14#住宅楼</t>
  </si>
  <si>
    <t>15#住宅楼</t>
  </si>
  <si>
    <t>16#住宅楼</t>
  </si>
  <si>
    <t>17#住宅楼</t>
  </si>
  <si>
    <t>19#住宅楼</t>
  </si>
  <si>
    <t>20#住宅楼</t>
  </si>
  <si>
    <t>21#住宅楼</t>
  </si>
  <si>
    <t>22#住宅楼</t>
  </si>
  <si>
    <t>24#住宅楼</t>
  </si>
  <si>
    <t>25#住宅楼</t>
  </si>
  <si>
    <t>26#住宅楼</t>
  </si>
  <si>
    <t>27#住宅楼</t>
  </si>
  <si>
    <t>1#地下车库</t>
  </si>
  <si>
    <t>楼号</t>
    <phoneticPr fontId="134" type="noConversion"/>
  </si>
  <si>
    <t>住宅</t>
    <phoneticPr fontId="134" type="noConversion"/>
  </si>
  <si>
    <t>仓储</t>
    <phoneticPr fontId="134" type="noConversion"/>
  </si>
  <si>
    <t>车库</t>
    <phoneticPr fontId="134" type="noConversion"/>
  </si>
  <si>
    <t>未售</t>
    <phoneticPr fontId="134" type="noConversion"/>
  </si>
  <si>
    <t>合计</t>
    <phoneticPr fontId="134" type="noConversion"/>
  </si>
  <si>
    <t>已售</t>
    <phoneticPr fontId="134" type="noConversion"/>
  </si>
  <si>
    <t>小计</t>
    <phoneticPr fontId="134" type="noConversion"/>
  </si>
  <si>
    <t>小计</t>
    <phoneticPr fontId="134" type="noConversion"/>
  </si>
  <si>
    <t>住宅</t>
    <phoneticPr fontId="7" type="noConversion"/>
  </si>
  <si>
    <t>仓储</t>
    <phoneticPr fontId="7" type="noConversion"/>
  </si>
  <si>
    <t>车库</t>
    <phoneticPr fontId="7" type="noConversion"/>
  </si>
  <si>
    <t>工程进度</t>
  </si>
  <si>
    <t>应银行要求</t>
    <phoneticPr fontId="3" type="noConversion"/>
  </si>
  <si>
    <t>仅计算土地</t>
    <phoneticPr fontId="3" type="noConversion"/>
  </si>
  <si>
    <t>较好</t>
  </si>
  <si>
    <t>较好</t>
    <phoneticPr fontId="40" type="noConversion"/>
  </si>
  <si>
    <t>一般</t>
  </si>
  <si>
    <t>一般</t>
    <phoneticPr fontId="24" type="noConversion"/>
  </si>
  <si>
    <t>一般</t>
    <phoneticPr fontId="40" type="noConversion"/>
  </si>
  <si>
    <t>一般</t>
    <phoneticPr fontId="40" type="noConversion"/>
  </si>
  <si>
    <t>六通</t>
  </si>
  <si>
    <t>六通</t>
    <phoneticPr fontId="24" type="noConversion"/>
  </si>
  <si>
    <t>较好</t>
    <phoneticPr fontId="40" type="noConversion"/>
  </si>
  <si>
    <t>正常</t>
  </si>
  <si>
    <t>70</t>
  </si>
  <si>
    <t>较不规则</t>
  </si>
  <si>
    <t>较适宜</t>
  </si>
  <si>
    <t>七通</t>
  </si>
  <si>
    <t>较规则</t>
  </si>
  <si>
    <t>五通</t>
  </si>
  <si>
    <t>北京市海淀区双新村棚户区改造项目2603-004-1地块R2二类居住用地</t>
  </si>
  <si>
    <t>北京市海淀区四季青镇中坞重点村资金平衡用地南地块R2二类居住用地</t>
  </si>
  <si>
    <t>北京市海淀区四季青镇中坞重点村资金平衡用地北地块R2二类居住用地</t>
  </si>
  <si>
    <t>地块名称</t>
  </si>
  <si>
    <t>城市</t>
  </si>
  <si>
    <t>地块编号</t>
  </si>
  <si>
    <t>省份</t>
  </si>
  <si>
    <t>区县</t>
  </si>
  <si>
    <t>板块</t>
  </si>
  <si>
    <t>土地位置</t>
  </si>
  <si>
    <t>用地性质</t>
  </si>
  <si>
    <t>建设用地面积(㎡)</t>
  </si>
  <si>
    <t>规划建筑面积(㎡)</t>
  </si>
  <si>
    <t>容积率</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</si>
  <si>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</si>
  <si>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</si>
  <si>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</si>
  <si>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</si>
  <si>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</si>
  <si>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</si>
  <si>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</si>
  <si>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</si>
  <si>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</si>
  <si>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</si>
  <si>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</si>
  <si>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</si>
  <si>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</si>
  <si>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</si>
  <si>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</si>
  <si>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起始日期</t>
  </si>
  <si>
    <t>截止日期</t>
  </si>
  <si>
    <t>成交日期</t>
  </si>
  <si>
    <t>公告编号</t>
  </si>
  <si>
    <t>成交状态</t>
  </si>
  <si>
    <t>受让单位</t>
  </si>
  <si>
    <t>拿地企业</t>
  </si>
  <si>
    <t>企业性质</t>
  </si>
  <si>
    <t>起始价(万元)</t>
  </si>
  <si>
    <t>保证金(万元)</t>
  </si>
  <si>
    <t>保证金截止时间</t>
  </si>
  <si>
    <t>成交价(万元)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</si>
  <si>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</si>
  <si>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</si>
  <si>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</si>
  <si>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</si>
  <si>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</si>
  <si>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</si>
  <si>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</si>
  <si>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</si>
  <si>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</si>
  <si>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</si>
  <si>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</si>
  <si>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</si>
  <si>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</si>
  <si>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</si>
  <si>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北京市海淀区双新村棚户区改造项目2603-004-1地块R2二类居住用地</t>
    <phoneticPr fontId="134" type="noConversion"/>
  </si>
  <si>
    <t>京土储挂(海)[2023]016号</t>
  </si>
  <si>
    <t xml:space="preserve"> 北京</t>
  </si>
  <si>
    <t xml:space="preserve"> 海淀区</t>
  </si>
  <si>
    <t xml:space="preserve"> 温泉</t>
  </si>
  <si>
    <t xml:space="preserve"> 海淀区四季青镇</t>
  </si>
  <si>
    <t xml:space="preserve"> 住宅用地</t>
  </si>
  <si>
    <t xml:space="preserve"> 挂牌</t>
  </si>
  <si>
    <t xml:space="preserve"> R2二类居住用地</t>
  </si>
  <si>
    <t xml:space="preserve">-- </t>
  </si>
  <si>
    <t xml:space="preserve"> -- </t>
  </si>
  <si>
    <t xml:space="preserve"> --</t>
  </si>
  <si>
    <t xml:space="preserve"> 限地价,摇号/摇珠/抽签,限房价</t>
  </si>
  <si>
    <t xml:space="preserve"> 限地价,限房价,摇号/摇珠/抽签</t>
  </si>
  <si>
    <t xml:space="preserve"> 京土储挂(海)[2023]016号</t>
  </si>
  <si>
    <t xml:space="preserve"> 已成交</t>
  </si>
  <si>
    <t xml:space="preserve"> 北京天恒正同资产管理有限公司  </t>
    <phoneticPr fontId="134" type="noConversion"/>
  </si>
  <si>
    <t xml:space="preserve"> 天恒置业</t>
  </si>
  <si>
    <t xml:space="preserve"> 地方国有企业</t>
  </si>
  <si>
    <t xml:space="preserve"> 居住70年、商业40年、办公50年</t>
  </si>
  <si>
    <t xml:space="preserve"> 触达</t>
  </si>
  <si>
    <t>北京市海淀区四季青镇中坞重点村资金平衡用地南地块R2二类居住用地</t>
    <phoneticPr fontId="134" type="noConversion"/>
  </si>
  <si>
    <t>京土整储挂(海)[2019]046号</t>
  </si>
  <si>
    <t xml:space="preserve"> 杏石口路</t>
  </si>
  <si>
    <t xml:space="preserve"> ≤18米</t>
  </si>
  <si>
    <t xml:space="preserve"> 限地价,竞自持,报高标准商品住宅建设方案</t>
  </si>
  <si>
    <t xml:space="preserve"> 限地价</t>
  </si>
  <si>
    <t xml:space="preserve"> 京土整储挂(海)[2019]046号</t>
  </si>
  <si>
    <t xml:space="preserve"> 北京海益嘉和置业有限公司  </t>
    <phoneticPr fontId="134" type="noConversion"/>
  </si>
  <si>
    <t xml:space="preserve"> 山西交通</t>
  </si>
  <si>
    <t>2020-01-17 15:00</t>
  </si>
  <si>
    <t>北京市海淀区四季青镇中坞重点村资金平衡用地北地块R2二类居住用地</t>
    <phoneticPr fontId="134" type="noConversion"/>
  </si>
  <si>
    <t>京土整储挂(海)[2019]045号</t>
  </si>
  <si>
    <t xml:space="preserve"> 京土整储挂(海)[2019]045号</t>
  </si>
  <si>
    <t xml:space="preserve"> 天津北方中茂置地有限公司  </t>
    <phoneticPr fontId="134" type="noConversion"/>
  </si>
  <si>
    <t xml:space="preserve"> 中国金茂,绿城中国</t>
  </si>
  <si>
    <t xml:space="preserve"> 中央国有企业,混合所有制</t>
  </si>
  <si>
    <t>京土储挂(海)[2023]015号</t>
  </si>
  <si>
    <t xml:space="preserve"> 京土储挂(海)[2023]015号</t>
  </si>
  <si>
    <t xml:space="preserve"> 佛山市南海区越汇房地产开发有限公司  </t>
  </si>
  <si>
    <t xml:space="preserve"> 越秀地产</t>
  </si>
  <si>
    <t xml:space="preserve"> 北京天恒正同资产管理有限公司  </t>
  </si>
  <si>
    <t>北京市海淀区西北旺镇HD00-0403街区永丰产业基地(新)F2地块HD00-0403-0013地块R2二类居住用地</t>
  </si>
  <si>
    <t>京土储挂(海)[2022]044号</t>
  </si>
  <si>
    <t xml:space="preserve"> 海淀区西北旺镇HD00-0403街区内</t>
  </si>
  <si>
    <t xml:space="preserve">2022年第3批次 </t>
  </si>
  <si>
    <t xml:space="preserve"> 限地价,现房销售,摇号/摇珠/抽签</t>
  </si>
  <si>
    <t xml:space="preserve"> 京土储挂(海)[2022]044号</t>
  </si>
  <si>
    <t xml:space="preserve"> 北京中海地产有限公司  </t>
  </si>
  <si>
    <t xml:space="preserve"> 中海地产</t>
  </si>
  <si>
    <t xml:space="preserve"> 中央国有企业</t>
  </si>
  <si>
    <t>2022-09-21 15:00</t>
  </si>
  <si>
    <t xml:space="preserve"> 住宅70年</t>
  </si>
  <si>
    <t>北京市海淀区西北旺镇HD00-0403街区永丰产业基地(新)F1地块HD00-0403-0003地块R2二类居住用地</t>
  </si>
  <si>
    <t>京土整储挂(海)[2021]047号</t>
  </si>
  <si>
    <t xml:space="preserve"> 海淀区西北旺镇</t>
  </si>
  <si>
    <t xml:space="preserve"> 二类居住用地(R2)</t>
  </si>
  <si>
    <t xml:space="preserve">2021年第2批次 </t>
  </si>
  <si>
    <t xml:space="preserve"> 30米</t>
  </si>
  <si>
    <t xml:space="preserve"> 限房价,限地价,报高标准商品住宅建设方案</t>
  </si>
  <si>
    <t xml:space="preserve"> 限房价,限地价</t>
  </si>
  <si>
    <t xml:space="preserve"> 京土整储挂(海)[2021]047号</t>
  </si>
  <si>
    <t xml:space="preserve"> 华润置地开发(北京)有限公司 、北京首都开发股份有限公司  </t>
  </si>
  <si>
    <t xml:space="preserve"> 华润置地,首开股份</t>
  </si>
  <si>
    <t xml:space="preserve"> 中央国有企业,地方国有企业</t>
  </si>
  <si>
    <t>2021-10-11 15:00</t>
  </si>
  <si>
    <t xml:space="preserve"> 居住70年</t>
  </si>
  <si>
    <t xml:space="preserve"> 未触达</t>
  </si>
  <si>
    <t>北京市海淀区东升镇京昌路楔形绿地棚户区改造项目(二期)0803-631-1块R2二类居住用地(配建“保障性租赁住房”)</t>
  </si>
  <si>
    <t>京土整储挂(海)[2021]044号</t>
  </si>
  <si>
    <t xml:space="preserve"> 学清路</t>
  </si>
  <si>
    <t xml:space="preserve"> 海淀区东升镇</t>
  </si>
  <si>
    <t xml:space="preserve"> 60米</t>
  </si>
  <si>
    <t xml:space="preserve"> 配建保障房用地,配建租赁住房用地</t>
  </si>
  <si>
    <t xml:space="preserve"> 保障性租赁住房</t>
  </si>
  <si>
    <t xml:space="preserve"> 京土整储挂(海)[2021]044号</t>
  </si>
  <si>
    <t xml:space="preserve"> 中建壹品投资发展有限公司 、中建信和地产有限公司  </t>
  </si>
  <si>
    <t xml:space="preserve"> 中建五局,中建三局</t>
  </si>
  <si>
    <t xml:space="preserve"> 中央国有企业,中央国有企业</t>
  </si>
  <si>
    <t xml:space="preserve"> 70年</t>
  </si>
  <si>
    <t>北京市海淀区海淀镇树村棚户区改造B-1北地块R2二类居住用地</t>
  </si>
  <si>
    <t>京土整储挂(海)[2021]013号</t>
  </si>
  <si>
    <t xml:space="preserve"> 马连洼</t>
  </si>
  <si>
    <t xml:space="preserve"> 海淀区海淀镇树村地区</t>
  </si>
  <si>
    <t xml:space="preserve"> ≤1.6</t>
  </si>
  <si>
    <t xml:space="preserve">2021年第1批次 </t>
  </si>
  <si>
    <t xml:space="preserve"> 18米</t>
  </si>
  <si>
    <t xml:space="preserve"> 限地价,报高标准商品住宅建设方案</t>
  </si>
  <si>
    <t xml:space="preserve"> 京土整储挂(海)[2021]013号</t>
  </si>
  <si>
    <t xml:space="preserve"> 北京陕创企诚置业有限公司  </t>
  </si>
  <si>
    <t xml:space="preserve"> 融创中国</t>
  </si>
  <si>
    <t xml:space="preserve"> 民营企业</t>
  </si>
  <si>
    <t>2021-05-07 15:00</t>
  </si>
  <si>
    <t>北京市海淀区海淀镇树村棚户区改造B-1南地块R2二类居住用地</t>
  </si>
  <si>
    <t>京土整储挂(海)[2021]012号</t>
  </si>
  <si>
    <t xml:space="preserve"> 京土整储挂(海)[2021]012号</t>
  </si>
  <si>
    <t xml:space="preserve"> 北京融贸亿盛置业有限公司  </t>
  </si>
  <si>
    <t xml:space="preserve"> 国贸地产,融创中国</t>
  </si>
  <si>
    <t xml:space="preserve"> 地方国有企业,民营企业</t>
  </si>
  <si>
    <t xml:space="preserve"> ≤1.5</t>
  </si>
  <si>
    <t xml:space="preserve"> 北京海益嘉和置业有限公司  </t>
  </si>
  <si>
    <t xml:space="preserve"> 天津北方中茂置地有限公司  </t>
  </si>
  <si>
    <t>北京市海淀区“海淀北部地区整体开发”翠湖科技园HD00-0303-6022地块R2二类居住用地</t>
  </si>
  <si>
    <t>京土整储挂(海)[2017]100号</t>
  </si>
  <si>
    <t xml:space="preserve"> 海淀区温泉镇</t>
  </si>
  <si>
    <t xml:space="preserve"> ≤30%</t>
  </si>
  <si>
    <t xml:space="preserve"> ≤30</t>
  </si>
  <si>
    <t xml:space="preserve"> 限地价,限房价,竞自持,报高标准商品住宅建设方案,90/70</t>
  </si>
  <si>
    <t xml:space="preserve"> 限地价,限房价,90/70</t>
  </si>
  <si>
    <t xml:space="preserve"> 京土整储挂(海)[2017]100号</t>
  </si>
  <si>
    <t xml:space="preserve"> 中国葛洲坝集团房地产开发有限公司  </t>
  </si>
  <si>
    <t xml:space="preserve"> 葛洲坝</t>
  </si>
  <si>
    <t>北京市海淀区苏州街站一体化棚户区改造项目前期工作及拟改造土地使用权</t>
  </si>
  <si>
    <t>京土棚改招(海)[2017]001号</t>
  </si>
  <si>
    <t xml:space="preserve"> 中关村</t>
  </si>
  <si>
    <t xml:space="preserve"> 北京市海淀区海淀南路12号院,海淀区中关村西区苏州街和海淀南路交界处东南角</t>
  </si>
  <si>
    <t xml:space="preserve"> 招标</t>
  </si>
  <si>
    <t xml:space="preserve"> 配建保障房用地</t>
  </si>
  <si>
    <t xml:space="preserve"> 定向安置房</t>
  </si>
  <si>
    <t xml:space="preserve"> 京土棚改招(海)[2017]001号</t>
  </si>
  <si>
    <t xml:space="preserve"> 北京城投地下空间开发建设有限公司  </t>
  </si>
  <si>
    <t>北京市海淀区"海淀北部地区整体开发”西北旺镇亮甲店村HD00-0404-6005、6006地块R2二类居住用地</t>
  </si>
  <si>
    <t>京土整储挂(海)[2017]078号</t>
  </si>
  <si>
    <t xml:space="preserve"> 海淀北部地区西北旺镇亮甲店村村东</t>
  </si>
  <si>
    <t xml:space="preserve"> ≤36</t>
  </si>
  <si>
    <t xml:space="preserve"> 限房价</t>
  </si>
  <si>
    <t xml:space="preserve"> 配建自住房/共有产权房用地,纯自住房/共有产权房用地</t>
  </si>
  <si>
    <t xml:space="preserve"> 京土整储挂(海)[2017]078号</t>
  </si>
  <si>
    <t xml:space="preserve"> 中铁置业集团北京有限公司 、北京建工地产有限责任公司联合体  </t>
  </si>
  <si>
    <t xml:space="preserve"> 北京建工,中国中铁</t>
  </si>
  <si>
    <t xml:space="preserve"> 地方国有企业,中央国有企业</t>
  </si>
  <si>
    <t>北京市海淀区四道口地区I地块F1住宅混合公建用地</t>
  </si>
  <si>
    <t>京土整储挂(海)[2017]067号</t>
  </si>
  <si>
    <t xml:space="preserve"> 北太平庄</t>
  </si>
  <si>
    <t xml:space="preserve"> 海淀区四道口</t>
  </si>
  <si>
    <t xml:space="preserve"> F1住宅混合公建用地</t>
  </si>
  <si>
    <t xml:space="preserve"> ≤60</t>
  </si>
  <si>
    <t xml:space="preserve"> 限地价,限房价,竞自持,90/70</t>
  </si>
  <si>
    <t xml:space="preserve"> 京土整储挂(海)[2017]067号</t>
  </si>
  <si>
    <t xml:space="preserve"> 天恒房地产</t>
  </si>
  <si>
    <t>海淀区“海淀北部地区整体开发”翠湖科技园HD00-0303-6009、6010地块R2二类居住用地</t>
  </si>
  <si>
    <t>京土整储挂(海)[2017]055号</t>
  </si>
  <si>
    <t xml:space="preserve"> 6009:1.5;6010:1.8</t>
  </si>
  <si>
    <t xml:space="preserve"> 6009:≤24;6010≤30</t>
  </si>
  <si>
    <t xml:space="preserve"> 京土整储挂(海)[2017]055号</t>
  </si>
  <si>
    <t xml:space="preserve"> 中铁房地产集团北方有限公司 、北京碧桂园阳光置业发展有限公司 、北京国瑞兴业房地产控股有限公司联合体  </t>
  </si>
  <si>
    <t xml:space="preserve"> 碧桂园,中国铁建</t>
  </si>
  <si>
    <t xml:space="preserve"> 民营企业,中央国有企业</t>
  </si>
  <si>
    <t>海淀区“海淀北部地区整体开发”翠湖科技园HD00-0303-6019、6020地块R2二类居住用地</t>
  </si>
  <si>
    <t>京土整储挂(海)[2017]056号</t>
  </si>
  <si>
    <t xml:space="preserve"> 6019:2;6020:1.8</t>
  </si>
  <si>
    <t xml:space="preserve"> 6019:≤36;6020≤30</t>
  </si>
  <si>
    <t xml:space="preserve"> 京土整储挂(海)[2017]056号</t>
  </si>
  <si>
    <t xml:space="preserve"> 北京万翰企业管理有限公司 、深圳安创投资管理有限公司联合体  </t>
  </si>
  <si>
    <t xml:space="preserve"> 万科</t>
  </si>
  <si>
    <t xml:space="preserve"> 混合所有制</t>
  </si>
  <si>
    <t>海淀区“海淀北部地区整体开发”永丰产业基地(新)HD00-0401-0062、0166、0158地块</t>
  </si>
  <si>
    <t>京土整储挂(海)[2016]018号</t>
  </si>
  <si>
    <t xml:space="preserve"> 限地价,限房价,竞自持,报高标准商品住宅建设方案</t>
  </si>
  <si>
    <t xml:space="preserve"> 纯租赁住房用地</t>
  </si>
  <si>
    <t xml:space="preserve"> 京土整储挂(海)[2016]018号</t>
  </si>
  <si>
    <t xml:space="preserve"> 北京万科企业有限公司  </t>
  </si>
  <si>
    <t>海淀区“海淀北部地区整体开发”永丰产业基地(新)HD00-0401-0146地块</t>
  </si>
  <si>
    <t>京土整储挂(海)[2016]017号</t>
  </si>
  <si>
    <t xml:space="preserve"> 配建自住房/共有产权房用地,配建租赁住房用地,配建保障房用地</t>
  </si>
  <si>
    <t xml:space="preserve"> 公共租赁房,自住房/共有产权房</t>
  </si>
  <si>
    <t xml:space="preserve"> 京土整储挂(海)[2016]017号</t>
  </si>
  <si>
    <t xml:space="preserve"> 中铁置业集团北京有限公司  </t>
  </si>
  <si>
    <t xml:space="preserve"> 中国中铁</t>
  </si>
  <si>
    <t>海淀区上庄镇B10地块R2二类居住用地项目</t>
  </si>
  <si>
    <t>京土整储招(海)[2014]005号</t>
  </si>
  <si>
    <t xml:space="preserve"> 海淀区上庄镇</t>
  </si>
  <si>
    <t xml:space="preserve"> 京土整储招(海)[2014]005号</t>
  </si>
  <si>
    <t xml:space="preserve"> 北京三元嘉业房地产开发有限公司  </t>
  </si>
  <si>
    <t xml:space="preserve"> 北京国泰群同投资控股集团,首都农业集团,北京嘉德投资集团有限公司</t>
  </si>
  <si>
    <t xml:space="preserve"> 民营企业,地方国有企业</t>
  </si>
  <si>
    <t xml:space="preserve"> 居住70年、商业40年、综合50年</t>
  </si>
  <si>
    <t>海淀区东升乡(清河盒子房厂土地一级开发项目)R2二类居住用地项目</t>
  </si>
  <si>
    <t>京土整储挂(海)[2013]084号</t>
  </si>
  <si>
    <t xml:space="preserve"> 西三旗</t>
  </si>
  <si>
    <t xml:space="preserve"> 海淀区东升乡</t>
  </si>
  <si>
    <t xml:space="preserve"> 二类居住用地</t>
  </si>
  <si>
    <t xml:space="preserve"> 公共租赁房</t>
  </si>
  <si>
    <t xml:space="preserve"> 京土整储挂(海)[2013]084号</t>
  </si>
  <si>
    <t xml:space="preserve"> 广州市富泓商务服务有限公司  </t>
  </si>
  <si>
    <t xml:space="preserve"> 合景泰富集团</t>
  </si>
  <si>
    <t>海淀区太平路36号居住、商业项目用地</t>
  </si>
  <si>
    <t>京土整储招(海)[2007] 001号</t>
  </si>
  <si>
    <t xml:space="preserve"> 永定路</t>
  </si>
  <si>
    <t xml:space="preserve"> 海淀区太平路36号</t>
  </si>
  <si>
    <t xml:space="preserve"> 住宅</t>
  </si>
  <si>
    <t xml:space="preserve"> 中国新兴建设开发总公司 北京新兴建业房地产开发有限公司联合体  </t>
  </si>
  <si>
    <t xml:space="preserve"> 居住70年、商业40年</t>
  </si>
  <si>
    <t>京土整储挂(海)[2004]003号地块</t>
  </si>
  <si>
    <t>京土整储挂(海)[2004]003号</t>
  </si>
  <si>
    <t xml:space="preserve"> 海淀区兴隆庄乙一号</t>
  </si>
  <si>
    <t xml:space="preserve"> 华岳原林投资(北京)有限公司  </t>
  </si>
  <si>
    <t>北京市海淀区六道口(文成杰座)居住项目</t>
  </si>
  <si>
    <t>京土整储挂(海)[2007]098号</t>
  </si>
  <si>
    <t xml:space="preserve"> 海淀区六道口林业大学东侧东升乡八家村</t>
  </si>
  <si>
    <t xml:space="preserve"> 住宅及居住公建服务设施</t>
  </si>
  <si>
    <t xml:space="preserve"> 中铁置业集团有限公司  </t>
  </si>
  <si>
    <t>北京市海淀区万柳地区居住用地(六郎庄搬迁平衡资金用地)项目</t>
  </si>
  <si>
    <t>京土整储挂(海)[2012]020号</t>
  </si>
  <si>
    <t xml:space="preserve"> 万柳</t>
  </si>
  <si>
    <t xml:space="preserve"> 海淀区万柳地区</t>
  </si>
  <si>
    <t xml:space="preserve"> 北京赫华恒瑞房地产开发有限公司  </t>
  </si>
  <si>
    <t>海淀区西北旺镇C1地块居住项目用地(唐家岭地区整体改造资金平衡项目)国有建设用地</t>
  </si>
  <si>
    <t>京土整储招(海)[2010]114号</t>
  </si>
  <si>
    <t xml:space="preserve"> 万科与五矿联合体  </t>
  </si>
  <si>
    <t xml:space="preserve"> 万科,五矿地产</t>
  </si>
  <si>
    <t xml:space="preserve"> 混合所有制,中央国有企业</t>
  </si>
  <si>
    <t>海淀区清河小营(加气混凝土厂)住宅及配套项目用地</t>
  </si>
  <si>
    <t>京土整储招(海)[2007]025号</t>
  </si>
  <si>
    <t xml:space="preserve"> 海淀区清河镇小营西</t>
  </si>
  <si>
    <t xml:space="preserve"> 住宅及配套</t>
  </si>
  <si>
    <t xml:space="preserve"> 北京金隅嘉业房地产开发有限公司  </t>
  </si>
  <si>
    <t xml:space="preserve"> 金隅集团</t>
  </si>
  <si>
    <t>京土整储挂(海)[2004]028号地块</t>
  </si>
  <si>
    <t>京土整储挂(海)[2004]028号</t>
  </si>
  <si>
    <t xml:space="preserve"> 海淀区西三旗安宁庄</t>
  </si>
  <si>
    <t xml:space="preserve"> 北京当代房地产开发有限责任公司  </t>
  </si>
  <si>
    <t xml:space="preserve"> 当代置业</t>
  </si>
  <si>
    <t>海淀区魏公村</t>
  </si>
  <si>
    <t>京土整储挂(海)[2003]014</t>
  </si>
  <si>
    <t xml:space="preserve"> 紫竹院、甘家口</t>
  </si>
  <si>
    <t xml:space="preserve"> 海淀区魏公村</t>
  </si>
  <si>
    <t xml:space="preserve"> 北京天地助房地产开发有限公司  </t>
  </si>
  <si>
    <t>海淀区西三旗东路</t>
  </si>
  <si>
    <t>京挂(海)[2003]011号</t>
  </si>
  <si>
    <t xml:space="preserve"> 海淀区西三旗东路</t>
  </si>
  <si>
    <t xml:space="preserve"> 北京新澳广厦房地产开发有限公司  </t>
  </si>
  <si>
    <t>京土整储挂(海)[2004]025号地块</t>
  </si>
  <si>
    <t>京土整储挂(海)[2004]025号</t>
  </si>
  <si>
    <t xml:space="preserve"> 海淀区东北旺乡西二旗</t>
  </si>
  <si>
    <t xml:space="preserve"> 北京归谷园有限责任公司  </t>
  </si>
  <si>
    <t>海淀区四季青镇巨山新村C区住宅用地</t>
  </si>
  <si>
    <t>京土整储招(海)[2006]041号</t>
  </si>
  <si>
    <t xml:space="preserve"> 海淀区四季青镇巨山新村C区</t>
  </si>
  <si>
    <t xml:space="preserve"> 北京新凤凰城房地产开发有限公司  </t>
  </si>
  <si>
    <t>海淀区花园路25号居住用地</t>
  </si>
  <si>
    <t>京土整储招(海)[2007]005号</t>
  </si>
  <si>
    <t xml:space="preserve"> 学院路</t>
  </si>
  <si>
    <t xml:space="preserve"> 海淀区花园路25号</t>
  </si>
  <si>
    <t xml:space="preserve"> 居住</t>
  </si>
  <si>
    <t xml:space="preserve"> 华纺房地产开发公司 、江苏恒佳置业有限公司  </t>
  </si>
  <si>
    <t>北京市海淀区西北旺新村三期(南)居住项目</t>
  </si>
  <si>
    <t>京土整储挂(海)[2008]016号</t>
  </si>
  <si>
    <t xml:space="preserve"> 海淀区西北旺新村东南部</t>
  </si>
  <si>
    <t xml:space="preserve"> 居住用地等</t>
  </si>
  <si>
    <t xml:space="preserve"> 北京首钢融创置地有限公司  </t>
  </si>
  <si>
    <t xml:space="preserve"> 住宅70年、商业40年、综合50年</t>
  </si>
  <si>
    <t>海淀区温泉镇中心区F11地块回迁安置房项目用地</t>
  </si>
  <si>
    <t>京土整储招(海)[2007]051号</t>
  </si>
  <si>
    <t xml:space="preserve"> 海淀区温泉镇中心区</t>
  </si>
  <si>
    <t xml:space="preserve"> 居住用地</t>
  </si>
  <si>
    <t xml:space="preserve"> 凤凰城房地产开发集团有限公司 、北京兴泉置业开发建设有限公司投标联合体  </t>
  </si>
  <si>
    <t>2021-3</t>
    <phoneticPr fontId="30" type="noConversion"/>
  </si>
  <si>
    <t>2021-2</t>
    <phoneticPr fontId="30" type="noConversion"/>
  </si>
  <si>
    <t>2021-1</t>
    <phoneticPr fontId="30" type="noConversion"/>
  </si>
  <si>
    <t>2020-4</t>
    <phoneticPr fontId="30" type="noConversion"/>
  </si>
  <si>
    <t>2020-3</t>
    <phoneticPr fontId="30" type="noConversion"/>
  </si>
  <si>
    <t>2020-2</t>
    <phoneticPr fontId="30" type="noConversion"/>
  </si>
  <si>
    <t>2020-1</t>
    <phoneticPr fontId="30" type="noConversion"/>
  </si>
  <si>
    <t>土地比较法-住宅、综合</t>
  </si>
  <si>
    <t>假设开发法</t>
  </si>
  <si>
    <t>建安取值</t>
  </si>
  <si>
    <t>单方建安</t>
  </si>
  <si>
    <t>合计</t>
  </si>
  <si>
    <t>建安</t>
  </si>
  <si>
    <t>主体</t>
  </si>
  <si>
    <t>公区装修</t>
  </si>
  <si>
    <t>室内装修</t>
  </si>
  <si>
    <t>设备</t>
  </si>
  <si>
    <t>人防</t>
  </si>
  <si>
    <t>综合平均</t>
  </si>
  <si>
    <t>项目名称</t>
    <phoneticPr fontId="134" type="noConversion"/>
  </si>
  <si>
    <t>香山樾</t>
    <phoneticPr fontId="134" type="noConversion"/>
  </si>
  <si>
    <t>印香山</t>
    <phoneticPr fontId="134" type="noConversion"/>
  </si>
  <si>
    <t>融创香山壹号院</t>
    <phoneticPr fontId="134" type="noConversion"/>
  </si>
  <si>
    <t>售价</t>
  </si>
  <si>
    <t>售价</t>
    <phoneticPr fontId="134" type="noConversion"/>
  </si>
  <si>
    <t>香山樾</t>
    <phoneticPr fontId="3" type="noConversion"/>
  </si>
  <si>
    <t>住宅</t>
    <phoneticPr fontId="24" type="noConversion"/>
  </si>
  <si>
    <t>七通</t>
    <phoneticPr fontId="24" type="noConversion"/>
  </si>
  <si>
    <t>板楼（大平层）</t>
  </si>
  <si>
    <t>板楼</t>
  </si>
  <si>
    <t>钢</t>
    <phoneticPr fontId="3" type="noConversion"/>
  </si>
  <si>
    <t>钢混</t>
    <phoneticPr fontId="3" type="noConversion"/>
  </si>
  <si>
    <t>砖混</t>
    <phoneticPr fontId="3" type="noConversion"/>
  </si>
  <si>
    <t>砖木</t>
    <phoneticPr fontId="3" type="noConversion"/>
  </si>
  <si>
    <t>高档</t>
    <phoneticPr fontId="3" type="noConversion"/>
  </si>
  <si>
    <t>中档</t>
    <phoneticPr fontId="3" type="noConversion"/>
  </si>
  <si>
    <t>低档</t>
    <phoneticPr fontId="3" type="noConversion"/>
  </si>
  <si>
    <t>豪华装修</t>
    <phoneticPr fontId="3" type="noConversion"/>
  </si>
  <si>
    <t>精装修</t>
    <phoneticPr fontId="3" type="noConversion"/>
  </si>
  <si>
    <t>普通装修</t>
    <phoneticPr fontId="3" type="noConversion"/>
  </si>
  <si>
    <t>简单装修</t>
    <phoneticPr fontId="3" type="noConversion"/>
  </si>
  <si>
    <t>毛坯</t>
    <phoneticPr fontId="3" type="noConversion"/>
  </si>
  <si>
    <t>专业物业管理</t>
    <phoneticPr fontId="3" type="noConversion"/>
  </si>
  <si>
    <t>普通物业管理</t>
    <phoneticPr fontId="3" type="noConversion"/>
  </si>
  <si>
    <t>居委会管理</t>
    <phoneticPr fontId="3" type="noConversion"/>
  </si>
  <si>
    <t>自管</t>
    <phoneticPr fontId="3" type="noConversion"/>
  </si>
  <si>
    <t>钢混</t>
  </si>
  <si>
    <t>高档</t>
  </si>
  <si>
    <t>精装修</t>
  </si>
  <si>
    <t>专业物业管理</t>
  </si>
  <si>
    <t>项目模式</t>
  </si>
  <si>
    <t>项目名称</t>
    <phoneticPr fontId="134" type="noConversion"/>
  </si>
  <si>
    <t>香山樾</t>
    <phoneticPr fontId="134" type="noConversion"/>
  </si>
  <si>
    <t>香山樾</t>
    <phoneticPr fontId="3" type="noConversion"/>
  </si>
  <si>
    <t>仓储</t>
    <phoneticPr fontId="31" type="noConversion"/>
  </si>
  <si>
    <t>七通</t>
    <phoneticPr fontId="31" type="noConversion"/>
  </si>
  <si>
    <t>精装修</t>
    <phoneticPr fontId="31" type="noConversion"/>
  </si>
  <si>
    <t>专业物业管理</t>
    <phoneticPr fontId="31" type="noConversion"/>
  </si>
  <si>
    <t>有</t>
  </si>
  <si>
    <t>有</t>
    <phoneticPr fontId="31" type="noConversion"/>
  </si>
  <si>
    <t>面积</t>
    <phoneticPr fontId="134" type="noConversion"/>
  </si>
  <si>
    <t>加权平均</t>
  </si>
  <si>
    <t>项目名称</t>
    <phoneticPr fontId="134" type="noConversion"/>
  </si>
  <si>
    <t>价格</t>
    <phoneticPr fontId="134" type="noConversion"/>
  </si>
  <si>
    <t>车位</t>
  </si>
  <si>
    <t>车位</t>
    <phoneticPr fontId="31" type="noConversion"/>
  </si>
  <si>
    <t>平面车位</t>
  </si>
  <si>
    <t>平面车位</t>
    <phoneticPr fontId="31" type="noConversion"/>
  </si>
  <si>
    <t>元/车位</t>
  </si>
  <si>
    <t>总价</t>
  </si>
  <si>
    <t>融创香山壹号院</t>
    <phoneticPr fontId="134" type="noConversion"/>
  </si>
  <si>
    <t>学府壹号院</t>
    <phoneticPr fontId="134" type="noConversion"/>
  </si>
  <si>
    <t>建行</t>
    <phoneticPr fontId="6" type="noConversion"/>
  </si>
  <si>
    <t>土地</t>
  </si>
  <si>
    <t>项目局部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</si>
</sst>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theme="1"/>
      <name val="宋体"/>
      <family val="2"/>
      <scheme val="minor"/>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1" xfId="0" applyFont="1" applyBorder="1" applyAlignment="1" applyProtection="1">
      <alignment horizontal="center" vertical="center" wrapText="1"/>
      <protection locked="0"/>
    </xf>
    <xf numFmtId="0" fontId="95" fillId="0" borderId="0" xfId="0" applyFont="1">
      <alignment vertical="center"/>
    </xf>
    <xf numFmtId="0" fontId="95" fillId="0" borderId="0" xfId="0" applyFont="1" applyAlignment="1">
      <alignment horizontal="center" vertical="center"/>
    </xf>
    <xf numFmtId="0" fontId="77" fillId="12" borderId="0" xfId="0"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70" fillId="5" borderId="0" xfId="19" applyNumberFormat="1" applyFill="1"/>
    <xf numFmtId="0" fontId="95" fillId="5" borderId="0" xfId="10" applyFill="1">
      <alignment vertical="center"/>
    </xf>
    <xf numFmtId="0" fontId="95" fillId="0" borderId="0" xfId="10" applyNumberFormat="1" applyFont="1" applyAlignment="1"/>
    <xf numFmtId="0" fontId="95" fillId="0" borderId="0" xfId="10" applyNumberFormat="1" applyAlignment="1"/>
    <xf numFmtId="14" fontId="95" fillId="0" borderId="0" xfId="10" applyNumberFormat="1" applyAlignment="1"/>
    <xf numFmtId="0" fontId="95" fillId="5" borderId="0" xfId="10" applyNumberFormat="1" applyFill="1" applyAlignment="1"/>
    <xf numFmtId="0" fontId="271" fillId="0" borderId="1" xfId="10" applyNumberFormat="1" applyFont="1" applyFill="1" applyBorder="1" applyAlignment="1"/>
    <xf numFmtId="14" fontId="271" fillId="0" borderId="1" xfId="10" applyNumberFormat="1" applyFont="1" applyFill="1" applyBorder="1" applyAlignment="1"/>
    <xf numFmtId="0" fontId="269" fillId="0" borderId="0" xfId="10" applyNumberFormat="1" applyFont="1" applyAlignment="1"/>
    <xf numFmtId="0" fontId="95" fillId="0" borderId="0" xfId="10">
      <alignment vertical="center"/>
    </xf>
    <xf numFmtId="0" fontId="0" fillId="0" borderId="0" xfId="0" applyProtection="1">
      <alignmen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0" fontId="47" fillId="12" borderId="0" xfId="0" applyFont="1" applyFill="1" applyAlignment="1" applyProtection="1">
      <alignment horizontal="left" vertical="center"/>
      <protection locked="0"/>
    </xf>
    <xf numFmtId="0" fontId="52" fillId="0" borderId="1" xfId="0" applyFont="1" applyFill="1" applyBorder="1" applyAlignment="1" applyProtection="1">
      <alignment horizontal="left" vertical="center"/>
      <protection locked="0"/>
    </xf>
    <xf numFmtId="0" fontId="128" fillId="0" borderId="51" xfId="0" applyNumberFormat="1" applyFont="1" applyFill="1" applyBorder="1" applyAlignment="1" applyProtection="1">
      <alignment horizontal="center" vertical="center" wrapText="1"/>
      <protection locked="0"/>
    </xf>
    <xf numFmtId="49" fontId="94" fillId="0" borderId="1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94" fillId="0" borderId="35"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49" fontId="94" fillId="0" borderId="1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0" xfId="0" applyFont="1"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77" fillId="7" borderId="5" xfId="0" applyFont="1" applyFill="1" applyBorder="1" applyAlignment="1" applyProtection="1">
      <alignment vertical="center"/>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44</xdr:row>
      <xdr:rowOff>9525</xdr:rowOff>
    </xdr:from>
    <xdr:to>
      <xdr:col>5</xdr:col>
      <xdr:colOff>533213</xdr:colOff>
      <xdr:row>51</xdr:row>
      <xdr:rowOff>171280</xdr:rowOff>
    </xdr:to>
    <xdr:pic>
      <xdr:nvPicPr>
        <xdr:cNvPr id="2" name="图片 1"/>
        <xdr:cNvPicPr>
          <a:picLocks noChangeAspect="1"/>
        </xdr:cNvPicPr>
      </xdr:nvPicPr>
      <xdr:blipFill>
        <a:blip xmlns:r="http://schemas.openxmlformats.org/officeDocument/2006/relationships" r:embed="rId1"/>
        <a:stretch>
          <a:fillRect/>
        </a:stretch>
      </xdr:blipFill>
      <xdr:spPr>
        <a:xfrm>
          <a:off x="409575" y="7562850"/>
          <a:ext cx="1495238" cy="1361905"/>
        </a:xfrm>
        <a:prstGeom prst="rect">
          <a:avLst/>
        </a:prstGeom>
      </xdr:spPr>
    </xdr:pic>
    <xdr:clientData/>
  </xdr:twoCellAnchor>
  <xdr:twoCellAnchor editAs="oneCell">
    <xdr:from>
      <xdr:col>41</xdr:col>
      <xdr:colOff>504825</xdr:colOff>
      <xdr:row>43</xdr:row>
      <xdr:rowOff>114300</xdr:rowOff>
    </xdr:from>
    <xdr:to>
      <xdr:col>54</xdr:col>
      <xdr:colOff>27692</xdr:colOff>
      <xdr:row>58</xdr:row>
      <xdr:rowOff>133026</xdr:rowOff>
    </xdr:to>
    <xdr:pic>
      <xdr:nvPicPr>
        <xdr:cNvPr id="3" name="图片 2"/>
        <xdr:cNvPicPr>
          <a:picLocks noChangeAspect="1"/>
        </xdr:cNvPicPr>
      </xdr:nvPicPr>
      <xdr:blipFill>
        <a:blip xmlns:r="http://schemas.openxmlformats.org/officeDocument/2006/relationships" r:embed="rId2"/>
        <a:stretch>
          <a:fillRect/>
        </a:stretch>
      </xdr:blipFill>
      <xdr:spPr>
        <a:xfrm>
          <a:off x="10982325" y="7496175"/>
          <a:ext cx="7066667" cy="2590476"/>
        </a:xfrm>
        <a:prstGeom prst="rect">
          <a:avLst/>
        </a:prstGeom>
      </xdr:spPr>
    </xdr:pic>
    <xdr:clientData/>
  </xdr:twoCellAnchor>
  <xdr:twoCellAnchor editAs="oneCell">
    <xdr:from>
      <xdr:col>9</xdr:col>
      <xdr:colOff>0</xdr:colOff>
      <xdr:row>44</xdr:row>
      <xdr:rowOff>0</xdr:rowOff>
    </xdr:from>
    <xdr:to>
      <xdr:col>39</xdr:col>
      <xdr:colOff>370634</xdr:colOff>
      <xdr:row>64</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7553325"/>
          <a:ext cx="6733334" cy="3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90</xdr:row>
      <xdr:rowOff>104775</xdr:rowOff>
    </xdr:from>
    <xdr:to>
      <xdr:col>14</xdr:col>
      <xdr:colOff>457200</xdr:colOff>
      <xdr:row>120</xdr:row>
      <xdr:rowOff>123071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163675"/>
          <a:ext cx="10058400" cy="5161796"/>
        </a:xfrm>
        <a:prstGeom prst="rect">
          <a:avLst/>
        </a:prstGeom>
      </xdr:spPr>
    </xdr:pic>
    <xdr:clientData/>
  </xdr:twoCellAnchor>
  <xdr:twoCellAnchor editAs="oneCell">
    <xdr:from>
      <xdr:col>0</xdr:col>
      <xdr:colOff>0</xdr:colOff>
      <xdr:row>8</xdr:row>
      <xdr:rowOff>0</xdr:rowOff>
    </xdr:from>
    <xdr:to>
      <xdr:col>11</xdr:col>
      <xdr:colOff>152400</xdr:colOff>
      <xdr:row>49</xdr:row>
      <xdr:rowOff>47625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7696200" cy="7077075"/>
        </a:xfrm>
        <a:prstGeom prst="rect">
          <a:avLst/>
        </a:prstGeom>
      </xdr:spPr>
    </xdr:pic>
    <xdr:clientData/>
  </xdr:twoCellAnchor>
  <xdr:twoCellAnchor editAs="oneCell">
    <xdr:from>
      <xdr:col>0</xdr:col>
      <xdr:colOff>0</xdr:colOff>
      <xdr:row>50</xdr:row>
      <xdr:rowOff>57150</xdr:rowOff>
    </xdr:from>
    <xdr:to>
      <xdr:col>11</xdr:col>
      <xdr:colOff>0</xdr:colOff>
      <xdr:row>89</xdr:row>
      <xdr:rowOff>85725</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7258050"/>
          <a:ext cx="7543800" cy="6715125"/>
        </a:xfrm>
        <a:prstGeom prst="rect">
          <a:avLst/>
        </a:prstGeom>
      </xdr:spPr>
    </xdr:pic>
    <xdr:clientData/>
  </xdr:twoCellAnchor>
  <xdr:twoCellAnchor editAs="oneCell">
    <xdr:from>
      <xdr:col>12</xdr:col>
      <xdr:colOff>0</xdr:colOff>
      <xdr:row>0</xdr:row>
      <xdr:rowOff>0</xdr:rowOff>
    </xdr:from>
    <xdr:to>
      <xdr:col>26</xdr:col>
      <xdr:colOff>457200</xdr:colOff>
      <xdr:row>29</xdr:row>
      <xdr:rowOff>11767</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8229600" y="0"/>
          <a:ext cx="10058400" cy="49838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8</xdr:row>
      <xdr:rowOff>38100</xdr:rowOff>
    </xdr:from>
    <xdr:to>
      <xdr:col>14</xdr:col>
      <xdr:colOff>457200</xdr:colOff>
      <xdr:row>43</xdr:row>
      <xdr:rowOff>87374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409700"/>
          <a:ext cx="10058400" cy="6050024"/>
        </a:xfrm>
        <a:prstGeom prst="rect">
          <a:avLst/>
        </a:prstGeom>
      </xdr:spPr>
    </xdr:pic>
    <xdr:clientData/>
  </xdr:twoCellAnchor>
  <xdr:twoCellAnchor editAs="oneCell">
    <xdr:from>
      <xdr:col>0</xdr:col>
      <xdr:colOff>0</xdr:colOff>
      <xdr:row>44</xdr:row>
      <xdr:rowOff>0</xdr:rowOff>
    </xdr:from>
    <xdr:to>
      <xdr:col>14</xdr:col>
      <xdr:colOff>457200</xdr:colOff>
      <xdr:row>77</xdr:row>
      <xdr:rowOff>104579</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543800"/>
          <a:ext cx="10058400" cy="5762429"/>
        </a:xfrm>
        <a:prstGeom prst="rect">
          <a:avLst/>
        </a:prstGeom>
      </xdr:spPr>
    </xdr:pic>
    <xdr:clientData/>
  </xdr:twoCellAnchor>
  <xdr:twoCellAnchor editAs="oneCell">
    <xdr:from>
      <xdr:col>0</xdr:col>
      <xdr:colOff>0</xdr:colOff>
      <xdr:row>79</xdr:row>
      <xdr:rowOff>0</xdr:rowOff>
    </xdr:from>
    <xdr:to>
      <xdr:col>14</xdr:col>
      <xdr:colOff>457200</xdr:colOff>
      <xdr:row>114</xdr:row>
      <xdr:rowOff>60561</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544550"/>
          <a:ext cx="10058400" cy="6061311"/>
        </a:xfrm>
        <a:prstGeom prst="rect">
          <a:avLst/>
        </a:prstGeom>
      </xdr:spPr>
    </xdr:pic>
    <xdr:clientData/>
  </xdr:twoCellAnchor>
  <xdr:twoCellAnchor editAs="oneCell">
    <xdr:from>
      <xdr:col>15</xdr:col>
      <xdr:colOff>0</xdr:colOff>
      <xdr:row>0</xdr:row>
      <xdr:rowOff>0</xdr:rowOff>
    </xdr:from>
    <xdr:to>
      <xdr:col>27</xdr:col>
      <xdr:colOff>477465</xdr:colOff>
      <xdr:row>40</xdr:row>
      <xdr:rowOff>48589</xdr:rowOff>
    </xdr:to>
    <xdr:pic>
      <xdr:nvPicPr>
        <xdr:cNvPr id="5" name="图片 4"/>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0287000" y="0"/>
          <a:ext cx="8707065" cy="690658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114300</xdr:rowOff>
    </xdr:from>
    <xdr:to>
      <xdr:col>14</xdr:col>
      <xdr:colOff>457200</xdr:colOff>
      <xdr:row>40</xdr:row>
      <xdr:rowOff>7184</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43000"/>
          <a:ext cx="10058400" cy="5722184"/>
        </a:xfrm>
        <a:prstGeom prst="rect">
          <a:avLst/>
        </a:prstGeom>
      </xdr:spPr>
    </xdr:pic>
    <xdr:clientData/>
  </xdr:twoCellAnchor>
  <xdr:twoCellAnchor editAs="oneCell">
    <xdr:from>
      <xdr:col>0</xdr:col>
      <xdr:colOff>0</xdr:colOff>
      <xdr:row>41</xdr:row>
      <xdr:rowOff>0</xdr:rowOff>
    </xdr:from>
    <xdr:to>
      <xdr:col>11</xdr:col>
      <xdr:colOff>19050</xdr:colOff>
      <xdr:row>80</xdr:row>
      <xdr:rowOff>9525</xdr:rowOff>
    </xdr:to>
    <xdr:pic>
      <xdr:nvPicPr>
        <xdr:cNvPr id="3" name="图片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29450"/>
          <a:ext cx="7562850" cy="6696075"/>
        </a:xfrm>
        <a:prstGeom prst="rect">
          <a:avLst/>
        </a:prstGeom>
      </xdr:spPr>
    </xdr:pic>
    <xdr:clientData/>
  </xdr:twoCellAnchor>
  <xdr:twoCellAnchor editAs="oneCell">
    <xdr:from>
      <xdr:col>0</xdr:col>
      <xdr:colOff>0</xdr:colOff>
      <xdr:row>81</xdr:row>
      <xdr:rowOff>0</xdr:rowOff>
    </xdr:from>
    <xdr:to>
      <xdr:col>10</xdr:col>
      <xdr:colOff>676275</xdr:colOff>
      <xdr:row>120</xdr:row>
      <xdr:rowOff>114300</xdr:rowOff>
    </xdr:to>
    <xdr:pic>
      <xdr:nvPicPr>
        <xdr:cNvPr id="4" name="图片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3887450"/>
          <a:ext cx="7534275" cy="68008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36234;&#31168;&#39321;&#23665;&#27198;(2603-003-1&#22320;&#2235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项目指标明细"/>
      <sheetName val="指标"/>
      <sheetName val="数据-汇总表"/>
      <sheetName val="数据-取费表"/>
      <sheetName val="估价对象房地状况"/>
      <sheetName val="系统读取表"/>
      <sheetName val="结果表"/>
      <sheetName val="比较法-住宅、综合"/>
      <sheetName val="土地案例"/>
      <sheetName val="剩余法-待开发"/>
      <sheetName val="剩余法-现房"/>
      <sheetName val="比较法-工业"/>
      <sheetName val="基准地价（汇总）"/>
      <sheetName val="修正"/>
      <sheetName val="区片价"/>
      <sheetName val="区片价-范围"/>
      <sheetName val="容积率修正"/>
      <sheetName val="因素修正幅度"/>
      <sheetName val="地价"/>
      <sheetName val="地价-分区"/>
      <sheetName val="收益还原法"/>
      <sheetName val="不动产比较法-住宅"/>
      <sheetName val="不动产收益法-商业"/>
      <sheetName val="不动产收益法-酒店模型"/>
      <sheetName val="成本逼近法"/>
      <sheetName val="不动产比较法-商业"/>
      <sheetName val="不动产比较法-办公"/>
      <sheetName val="不动产比较法-工业"/>
      <sheetName val="不动产比较法-仓储"/>
      <sheetName val="不动产比较法-车位"/>
      <sheetName val="基准地价"/>
      <sheetName val="典型户型修正"/>
      <sheetName val="存贷款利率"/>
      <sheetName val="资料"/>
      <sheetName val="案例"/>
    </sheetNames>
    <sheetDataSet>
      <sheetData sheetId="0"/>
      <sheetData sheetId="1"/>
      <sheetData sheetId="2"/>
      <sheetData sheetId="3"/>
      <sheetData sheetId="4"/>
      <sheetData sheetId="5"/>
      <sheetData sheetId="6"/>
      <sheetData sheetId="7">
        <row r="3">
          <cell r="D3" t="str">
            <v>土地估价师</v>
          </cell>
        </row>
        <row r="4">
          <cell r="D4" t="str">
            <v>梁津</v>
          </cell>
        </row>
        <row r="5">
          <cell r="D5" t="str">
            <v>叶凌</v>
          </cell>
        </row>
        <row r="6">
          <cell r="D6" t="str">
            <v>王鹏</v>
          </cell>
        </row>
        <row r="7">
          <cell r="D7" t="str">
            <v>欧红伟</v>
          </cell>
        </row>
        <row r="8">
          <cell r="D8" t="str">
            <v>吴薇</v>
          </cell>
        </row>
        <row r="9">
          <cell r="D9" t="str">
            <v>陈颖</v>
          </cell>
        </row>
        <row r="10">
          <cell r="D10" t="str">
            <v>崔锴</v>
          </cell>
        </row>
        <row r="11">
          <cell r="D11" t="str">
            <v>郑燚</v>
          </cell>
        </row>
        <row r="12">
          <cell r="D12" t="str">
            <v>苏海</v>
          </cell>
        </row>
        <row r="13">
          <cell r="D13" t="str">
            <v>赵雯</v>
          </cell>
        </row>
        <row r="14">
          <cell r="D14" t="str">
            <v>刘敬东</v>
          </cell>
        </row>
        <row r="17">
          <cell r="D17" t="str">
            <v>——</v>
          </cell>
        </row>
      </sheetData>
      <sheetData sheetId="8">
        <row r="1">
          <cell r="A1" t="str">
            <v>用途类型</v>
          </cell>
          <cell r="B1" t="str">
            <v>估价方法</v>
          </cell>
          <cell r="C1" t="str">
            <v>土地级别</v>
          </cell>
          <cell r="D1" t="str">
            <v>估价范围判定</v>
          </cell>
          <cell r="F1" t="str">
            <v>主用途</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平层住宅</v>
          </cell>
          <cell r="B2" t="str">
            <v>剩余法-待开发</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LOFT住宅</v>
          </cell>
          <cell r="B3" t="str">
            <v>剩余法-现房</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普通住宅</v>
          </cell>
          <cell r="B4" t="str">
            <v>比较法-住宅、综合</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公寓</v>
          </cell>
          <cell r="B5" t="str">
            <v>比较法-工业</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洋房</v>
          </cell>
          <cell r="B6" t="str">
            <v>基准地价</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叠拼</v>
          </cell>
          <cell r="B7" t="str">
            <v>成本逼近法</v>
          </cell>
          <cell r="C7" t="str">
            <v>六级</v>
          </cell>
          <cell r="F7" t="str">
            <v>车库—商业</v>
          </cell>
          <cell r="H7" t="str">
            <v>工业</v>
          </cell>
        </row>
        <row r="8">
          <cell r="A8" t="str">
            <v>联排</v>
          </cell>
          <cell r="B8" t="str">
            <v>不动产收益法</v>
          </cell>
          <cell r="C8" t="str">
            <v>七级</v>
          </cell>
          <cell r="F8" t="str">
            <v>车库—办公</v>
          </cell>
          <cell r="H8" t="str">
            <v>公共服务</v>
          </cell>
        </row>
        <row r="9">
          <cell r="A9" t="str">
            <v>双拼</v>
          </cell>
          <cell r="B9" t="str">
            <v>不动产比较法-住宅</v>
          </cell>
          <cell r="C9" t="str">
            <v>八级</v>
          </cell>
          <cell r="F9" t="str">
            <v>仓储</v>
          </cell>
        </row>
        <row r="10">
          <cell r="A10" t="str">
            <v>独栋</v>
          </cell>
          <cell r="B10" t="str">
            <v>不动产比较法-商业</v>
          </cell>
          <cell r="C10" t="str">
            <v>九级</v>
          </cell>
          <cell r="F10" t="str">
            <v>公共服务</v>
          </cell>
        </row>
        <row r="11">
          <cell r="A11" t="str">
            <v>底商</v>
          </cell>
          <cell r="B11" t="str">
            <v>不动产比较法-办公</v>
          </cell>
          <cell r="C11" t="str">
            <v>十级</v>
          </cell>
        </row>
        <row r="12">
          <cell r="A12" t="str">
            <v>独立商业</v>
          </cell>
          <cell r="B12" t="str">
            <v>不动产比较法-工业</v>
          </cell>
          <cell r="C12" t="str">
            <v>十一级</v>
          </cell>
        </row>
        <row r="13">
          <cell r="A13" t="str">
            <v>商业街</v>
          </cell>
          <cell r="B13" t="str">
            <v>不动产比较法-车位</v>
          </cell>
          <cell r="C13" t="str">
            <v>十二级</v>
          </cell>
        </row>
        <row r="14">
          <cell r="A14" t="str">
            <v>酒店</v>
          </cell>
          <cell r="B14" t="str">
            <v>不动产比较法-仓储</v>
          </cell>
          <cell r="C14" t="str">
            <v>——</v>
          </cell>
        </row>
        <row r="15">
          <cell r="A15" t="str">
            <v>标准厂房</v>
          </cell>
          <cell r="B15" t="str">
            <v>不动产收益法-商业</v>
          </cell>
        </row>
        <row r="16">
          <cell r="A16" t="str">
            <v>特殊厂房</v>
          </cell>
          <cell r="B16" t="str">
            <v>不动产收益法-办公</v>
          </cell>
        </row>
        <row r="17">
          <cell r="A17" t="str">
            <v>办公楼</v>
          </cell>
          <cell r="B17" t="str">
            <v>不动产收益法-车库</v>
          </cell>
        </row>
        <row r="18">
          <cell r="A18" t="str">
            <v>宿舍</v>
          </cell>
          <cell r="B18" t="str">
            <v>基准地价（汇总）</v>
          </cell>
        </row>
        <row r="19">
          <cell r="A19" t="str">
            <v>食堂</v>
          </cell>
          <cell r="B19" t="str">
            <v>收益还原法</v>
          </cell>
        </row>
        <row r="20">
          <cell r="A20" t="str">
            <v>车库</v>
          </cell>
          <cell r="B20" t="str">
            <v>典型户型修正</v>
          </cell>
        </row>
        <row r="21">
          <cell r="A21" t="str">
            <v>戊类库房</v>
          </cell>
          <cell r="B21" t="str">
            <v>不动产收益法-酒店模型</v>
          </cell>
        </row>
        <row r="22">
          <cell r="A22" t="str">
            <v>燃品库房</v>
          </cell>
          <cell r="B22" t="str">
            <v>*</v>
          </cell>
        </row>
        <row r="23">
          <cell r="A23" t="str">
            <v>非燃品库房</v>
          </cell>
          <cell r="B23" t="str">
            <v>*</v>
          </cell>
        </row>
        <row r="24">
          <cell r="A24" t="str">
            <v>——</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抵押价格</v>
          </cell>
        </row>
        <row r="55">
          <cell r="B55" t="str">
            <v>已注销</v>
          </cell>
        </row>
        <row r="56">
          <cell r="B56" t="str">
            <v>已注销及未注销</v>
          </cell>
        </row>
      </sheetData>
      <sheetData sheetId="9"/>
      <sheetData sheetId="10"/>
      <sheetData sheetId="11"/>
      <sheetData sheetId="12"/>
      <sheetData sheetId="13"/>
      <sheetData sheetId="14">
        <row r="17">
          <cell r="C17" t="str">
            <v>项目类型</v>
          </cell>
        </row>
        <row r="19">
          <cell r="C19" t="str">
            <v>住宅</v>
          </cell>
        </row>
        <row r="20">
          <cell r="C20" t="str">
            <v>仓储（住宅下跃）</v>
          </cell>
        </row>
        <row r="21">
          <cell r="C21" t="str">
            <v>车库</v>
          </cell>
        </row>
        <row r="22">
          <cell r="C22" t="str">
            <v>商业（配套）</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4">
          <cell r="A74" t="str">
            <v>交易情况</v>
          </cell>
          <cell r="C74" t="str">
            <v>正常</v>
          </cell>
        </row>
        <row r="76">
          <cell r="B76" t="str">
            <v>用途</v>
          </cell>
          <cell r="C76" t="str">
            <v>住宅</v>
          </cell>
          <cell r="D76" t="str">
            <v>综合</v>
          </cell>
        </row>
        <row r="107">
          <cell r="B107" t="str">
            <v>毗邻道路的类型与等级</v>
          </cell>
          <cell r="C107" t="str">
            <v>高速公路</v>
          </cell>
          <cell r="D107" t="str">
            <v>城市快速路</v>
          </cell>
          <cell r="E107" t="str">
            <v>城市主干道</v>
          </cell>
          <cell r="F107" t="str">
            <v>城市次干道</v>
          </cell>
          <cell r="G107" t="str">
            <v>城市支路</v>
          </cell>
        </row>
        <row r="109">
          <cell r="B109" t="str">
            <v>土地级别</v>
          </cell>
        </row>
        <row r="120">
          <cell r="B120" t="str">
            <v>宗地形状</v>
          </cell>
          <cell r="C120" t="str">
            <v>规则</v>
          </cell>
          <cell r="D120" t="str">
            <v>较规则</v>
          </cell>
          <cell r="E120" t="str">
            <v>较不规则</v>
          </cell>
          <cell r="F120" t="str">
            <v>不规则</v>
          </cell>
        </row>
        <row r="122">
          <cell r="B122" t="str">
            <v>临街宽度及深度</v>
          </cell>
          <cell r="C122" t="str">
            <v>适宜</v>
          </cell>
          <cell r="D122" t="str">
            <v>较适宜</v>
          </cell>
          <cell r="E122" t="str">
            <v>一般</v>
          </cell>
          <cell r="F122" t="str">
            <v>较不适宜</v>
          </cell>
          <cell r="G122" t="str">
            <v>不适宜</v>
          </cell>
        </row>
        <row r="124">
          <cell r="B124" t="str">
            <v>宗地开发程度</v>
          </cell>
          <cell r="C124" t="str">
            <v>七通</v>
          </cell>
          <cell r="D124" t="str">
            <v>六通</v>
          </cell>
          <cell r="E124" t="str">
            <v>五通</v>
          </cell>
          <cell r="F124" t="str">
            <v>四通</v>
          </cell>
          <cell r="G124" t="str">
            <v>三通</v>
          </cell>
        </row>
        <row r="126">
          <cell r="B126" t="str">
            <v>工程地质条件</v>
          </cell>
          <cell r="C126" t="str">
            <v>好</v>
          </cell>
          <cell r="D126" t="str">
            <v>较好</v>
          </cell>
          <cell r="E126" t="str">
            <v>一般</v>
          </cell>
          <cell r="F126" t="str">
            <v>较差</v>
          </cell>
          <cell r="G126" t="str">
            <v>差</v>
          </cell>
        </row>
      </sheetData>
      <sheetData sheetId="20"/>
      <sheetData sheetId="21"/>
      <sheetData sheetId="22"/>
      <sheetData sheetId="23">
        <row r="71">
          <cell r="B71" t="str">
            <v>用途</v>
          </cell>
          <cell r="C71" t="str">
            <v>工业</v>
          </cell>
        </row>
        <row r="98">
          <cell r="B98" t="str">
            <v>毗邻道路的类型与等级</v>
          </cell>
          <cell r="C98" t="str">
            <v>高速公路</v>
          </cell>
          <cell r="D98" t="str">
            <v>城市快速路</v>
          </cell>
          <cell r="E98" t="str">
            <v>城市主干道</v>
          </cell>
          <cell r="F98" t="str">
            <v>城市次干道</v>
          </cell>
          <cell r="G98" t="str">
            <v>城市支路</v>
          </cell>
        </row>
        <row r="100">
          <cell r="B100" t="str">
            <v>土地级别</v>
          </cell>
        </row>
        <row r="111">
          <cell r="B111" t="str">
            <v>宗地形状</v>
          </cell>
          <cell r="C111" t="str">
            <v>规则</v>
          </cell>
          <cell r="D111" t="str">
            <v>较规则</v>
          </cell>
          <cell r="E111" t="str">
            <v>一般</v>
          </cell>
          <cell r="F111" t="str">
            <v>较不规则</v>
          </cell>
          <cell r="G111" t="str">
            <v>不规则</v>
          </cell>
        </row>
        <row r="113">
          <cell r="B113" t="str">
            <v>宗地开发程度</v>
          </cell>
          <cell r="C113" t="str">
            <v>七通</v>
          </cell>
          <cell r="D113" t="str">
            <v>六通</v>
          </cell>
          <cell r="E113" t="str">
            <v>五通</v>
          </cell>
          <cell r="F113" t="str">
            <v>四通</v>
          </cell>
          <cell r="G113" t="str">
            <v>三通</v>
          </cell>
        </row>
        <row r="115">
          <cell r="B115" t="str">
            <v>工程地质条件</v>
          </cell>
          <cell r="C115" t="str">
            <v>好</v>
          </cell>
          <cell r="D115" t="str">
            <v>较好</v>
          </cell>
          <cell r="E115" t="str">
            <v>一般</v>
          </cell>
          <cell r="F115" t="str">
            <v>较差</v>
          </cell>
          <cell r="G115" t="str">
            <v>差</v>
          </cell>
        </row>
      </sheetData>
      <sheetData sheetId="24"/>
      <sheetData sheetId="2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26"/>
      <sheetData sheetId="27"/>
      <sheetData sheetId="28"/>
      <sheetData sheetId="29"/>
      <sheetData sheetId="30"/>
      <sheetData sheetId="31"/>
      <sheetData sheetId="32"/>
      <sheetData sheetId="33">
        <row r="61">
          <cell r="A61" t="str">
            <v>交易情况</v>
          </cell>
          <cell r="C61" t="str">
            <v>正常</v>
          </cell>
          <cell r="D61" t="str">
            <v>报价</v>
          </cell>
        </row>
        <row r="63">
          <cell r="B63" t="str">
            <v>用途</v>
          </cell>
          <cell r="C63" t="str">
            <v>住宅</v>
          </cell>
        </row>
        <row r="86">
          <cell r="B86" t="str">
            <v>楼层-1</v>
          </cell>
          <cell r="C86" t="str">
            <v>高区</v>
          </cell>
          <cell r="D86" t="str">
            <v>中区</v>
          </cell>
          <cell r="E86" t="str">
            <v>低区</v>
          </cell>
        </row>
        <row r="88">
          <cell r="B88" t="str">
            <v>朝向</v>
          </cell>
          <cell r="C88" t="str">
            <v>南北东</v>
          </cell>
          <cell r="D88" t="str">
            <v>南北西</v>
          </cell>
          <cell r="E88" t="str">
            <v>南北</v>
          </cell>
          <cell r="F88" t="str">
            <v>南</v>
          </cell>
        </row>
        <row r="100">
          <cell r="B100" t="str">
            <v>建筑类型</v>
          </cell>
          <cell r="C100" t="str">
            <v>板楼（大平层）</v>
          </cell>
          <cell r="D100" t="str">
            <v>板楼</v>
          </cell>
        </row>
        <row r="105">
          <cell r="B105" t="str">
            <v>建筑结构</v>
          </cell>
          <cell r="C105" t="str">
            <v>钢</v>
          </cell>
          <cell r="D105" t="str">
            <v>钢混</v>
          </cell>
          <cell r="E105" t="str">
            <v>砖混</v>
          </cell>
          <cell r="F105" t="str">
            <v>砖木</v>
          </cell>
        </row>
        <row r="107">
          <cell r="B107" t="str">
            <v>建筑品质</v>
          </cell>
          <cell r="C107" t="str">
            <v>高档</v>
          </cell>
          <cell r="D107" t="str">
            <v>中档</v>
          </cell>
          <cell r="E107" t="str">
            <v>低档</v>
          </cell>
        </row>
        <row r="109">
          <cell r="B109" t="str">
            <v>公共部分装修</v>
          </cell>
          <cell r="C109" t="str">
            <v>豪华装修</v>
          </cell>
          <cell r="D109" t="str">
            <v>精装修</v>
          </cell>
          <cell r="E109" t="str">
            <v>普通装修</v>
          </cell>
          <cell r="F109" t="str">
            <v>简单装修</v>
          </cell>
          <cell r="G109" t="str">
            <v>毛坯</v>
          </cell>
        </row>
        <row r="114">
          <cell r="B114" t="str">
            <v>物业管理</v>
          </cell>
          <cell r="C114" t="str">
            <v>专业物业管理</v>
          </cell>
          <cell r="D114" t="str">
            <v>普通物业管理</v>
          </cell>
          <cell r="E114" t="str">
            <v>居委会管理</v>
          </cell>
          <cell r="F114" t="str">
            <v>自管</v>
          </cell>
        </row>
        <row r="116">
          <cell r="B116" t="str">
            <v>市政基础设施</v>
          </cell>
          <cell r="C116" t="str">
            <v>七通</v>
          </cell>
          <cell r="D116" t="str">
            <v>六通</v>
          </cell>
          <cell r="E116" t="str">
            <v>五通</v>
          </cell>
          <cell r="F116" t="str">
            <v>四通</v>
          </cell>
          <cell r="G116" t="str">
            <v>三通</v>
          </cell>
        </row>
        <row r="118">
          <cell r="B118" t="str">
            <v>房型</v>
          </cell>
        </row>
        <row r="122">
          <cell r="B122" t="str">
            <v>内部装修</v>
          </cell>
          <cell r="C122" t="str">
            <v>豪华装修</v>
          </cell>
          <cell r="D122" t="str">
            <v>精装修</v>
          </cell>
          <cell r="E122" t="str">
            <v>普通装修</v>
          </cell>
          <cell r="F122" t="str">
            <v>简单装修</v>
          </cell>
          <cell r="G122" t="str">
            <v>毛坯</v>
          </cell>
        </row>
      </sheetData>
      <sheetData sheetId="34"/>
      <sheetData sheetId="35"/>
      <sheetData sheetId="36"/>
      <sheetData sheetId="3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8">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9">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40">
        <row r="49">
          <cell r="A49" t="str">
            <v>交易情况</v>
          </cell>
          <cell r="C49" t="str">
            <v>正常</v>
          </cell>
          <cell r="D49" t="str">
            <v>报价</v>
          </cell>
        </row>
        <row r="51">
          <cell r="B51" t="str">
            <v>用途</v>
          </cell>
          <cell r="C51" t="str">
            <v>仓储</v>
          </cell>
        </row>
        <row r="69">
          <cell r="B69" t="str">
            <v>楼层</v>
          </cell>
        </row>
        <row r="77">
          <cell r="B77" t="str">
            <v>公共部分装修</v>
          </cell>
          <cell r="C77" t="str">
            <v>精装修</v>
          </cell>
          <cell r="D77" t="str">
            <v>普通装修</v>
          </cell>
          <cell r="E77" t="str">
            <v>简单装修</v>
          </cell>
          <cell r="F77" t="str">
            <v>毛坯</v>
          </cell>
        </row>
        <row r="82">
          <cell r="B82" t="str">
            <v>物业等级</v>
          </cell>
          <cell r="C82" t="str">
            <v>专业物业</v>
          </cell>
          <cell r="D82" t="str">
            <v>普通物业</v>
          </cell>
        </row>
        <row r="84">
          <cell r="B84" t="str">
            <v>有无电梯</v>
          </cell>
          <cell r="C84" t="str">
            <v>有</v>
          </cell>
          <cell r="D84" t="str">
            <v>无</v>
          </cell>
        </row>
        <row r="89">
          <cell r="B89" t="str">
            <v>是否封闭</v>
          </cell>
          <cell r="C89" t="str">
            <v>是</v>
          </cell>
          <cell r="D89" t="str">
            <v>否</v>
          </cell>
        </row>
      </sheetData>
      <sheetData sheetId="41">
        <row r="51">
          <cell r="A51" t="str">
            <v>交易情况</v>
          </cell>
          <cell r="C51" t="str">
            <v>正常</v>
          </cell>
          <cell r="D51" t="str">
            <v>报价</v>
          </cell>
        </row>
        <row r="53">
          <cell r="B53" t="str">
            <v>用途</v>
          </cell>
          <cell r="C53" t="str">
            <v>车库</v>
          </cell>
        </row>
        <row r="71">
          <cell r="B71" t="str">
            <v>楼层</v>
          </cell>
        </row>
        <row r="79">
          <cell r="B79" t="str">
            <v>配套类型（地上主用途）</v>
          </cell>
          <cell r="C79" t="str">
            <v>住宅</v>
          </cell>
        </row>
        <row r="83">
          <cell r="B83" t="str">
            <v>公共部分装修</v>
          </cell>
          <cell r="C83" t="str">
            <v>精装修</v>
          </cell>
          <cell r="D83" t="str">
            <v>普通装修</v>
          </cell>
          <cell r="E83" t="str">
            <v>简单装修</v>
          </cell>
          <cell r="F83" t="str">
            <v>毛坯</v>
          </cell>
        </row>
        <row r="88">
          <cell r="B88" t="str">
            <v>物业等级</v>
          </cell>
          <cell r="C88" t="str">
            <v>专业物业</v>
          </cell>
          <cell r="D88" t="str">
            <v>普通物业</v>
          </cell>
        </row>
        <row r="93">
          <cell r="B93" t="str">
            <v>车位类型</v>
          </cell>
          <cell r="C93" t="str">
            <v>平面</v>
          </cell>
        </row>
        <row r="95">
          <cell r="B95" t="str">
            <v>是否直接入户</v>
          </cell>
          <cell r="C95" t="str">
            <v>是</v>
          </cell>
          <cell r="D95" t="str">
            <v>否</v>
          </cell>
        </row>
      </sheetData>
      <sheetData sheetId="42"/>
      <sheetData sheetId="43">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北京市北京市海淀区双新村棚户区改造项目2603-003-1地块R2二类居住用地出让国有建设用地使用权房地产抵押价值预评估</v>
      </c>
    </row>
    <row r="3" spans="1:2" s="1200" customFormat="1">
      <c r="A3" s="1198" t="s">
        <v>523</v>
      </c>
      <c r="B3" s="1199">
        <f>'预评函-封皮'!B40</f>
        <v>0</v>
      </c>
    </row>
    <row r="4" spans="1:2" s="1200" customFormat="1">
      <c r="A4" s="1198" t="s">
        <v>524</v>
      </c>
      <c r="B4" s="1199" t="str">
        <f ca="1">'预评函-封皮'!B46</f>
        <v>吴薇（注册号：1419970001)、崔锴（注册号：1120100036)</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受贵公司委托，我公司对北京市北京市海淀区双新村棚户区改造项目2603-003-1地块R2二类居住用地出让国有建设用地使用权抵押价值进行了预评估。</v>
      </c>
    </row>
    <row r="7" spans="1:2" s="1200" customFormat="1">
      <c r="A7" s="1198" t="s">
        <v>566</v>
      </c>
      <c r="B7" s="1199" t="str">
        <f>'预评函-1'!A7</f>
        <v>估价对象为北京市北京市海淀区双新村棚户区改造项目2603-003-1地块R2二类居住用地出让国有建设用地使用权，为北京越华房地产开发有限公司所有。根据《国有土地使用证》[]，估价对象（分摊）出让国有建设用地使用权面积为53915.27平方米，建筑面积为105107.28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北京市海淀区双新村棚户区改造项目2603-003-1地块R2二类居住用地出让国有建设用地使用权,属北京越华房地产开发有限公司开发建设的居住项目，该项目尚在开发建设中。根据《国有土地使用证》[]，估价对象（分摊）出让国有建设用地使用权面积为53915.27平方米，规划建筑面积为105107.28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为估价委托人在向建行办理贷款手续过程中，确定房地产抵押贷款额度提供参考依据而评估房地产抵押价值。</v>
      </c>
    </row>
    <row r="12" spans="1:2" s="1200" customFormat="1">
      <c r="A12" s="1198" t="s">
        <v>528</v>
      </c>
      <c r="B12" s="1199" t="str">
        <f>'预评函-1'!A15</f>
        <v>2024年10月11日（评估专业人员实地查勘之日）</v>
      </c>
    </row>
    <row r="13" spans="1:2" s="1200" customFormat="1">
      <c r="A13" s="1198" t="s">
        <v>529</v>
      </c>
      <c r="B13" s="1199" t="str">
        <f>'预评函-1'!A18</f>
        <v>本次估价的“房地产价值”是指在正常市场情况下，在价值时点2024年10月11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
      </c>
    </row>
    <row r="18" spans="1:2" s="1194" customFormat="1" ht="15" thickBot="1">
      <c r="A18" s="1201" t="s">
        <v>534</v>
      </c>
      <c r="B18" s="1202" t="str">
        <f>'预评函-1'!A24</f>
        <v>本次评估采用的主估价方法为比较法和假设开发法。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524696</v>
      </c>
    </row>
    <row r="21" spans="1:2" s="1200" customFormat="1">
      <c r="A21" s="1198" t="s">
        <v>537</v>
      </c>
      <c r="B21" s="1199">
        <f ca="1">'预评函-2'!D7</f>
        <v>49920</v>
      </c>
    </row>
    <row r="22" spans="1:2" s="1200" customFormat="1">
      <c r="A22" s="1198" t="s">
        <v>538</v>
      </c>
      <c r="B22" s="1199" t="str">
        <f ca="1">'预评函-2'!D6</f>
        <v>伍拾贰亿肆仟陆佰玖拾陆万元整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524696</v>
      </c>
    </row>
    <row r="31" spans="1:2" s="1200" customFormat="1">
      <c r="A31" s="1198" t="s">
        <v>576</v>
      </c>
      <c r="B31" s="1199">
        <f ca="1">'预评函-2'!D15</f>
        <v>49920</v>
      </c>
    </row>
    <row r="32" spans="1:2" s="1200" customFormat="1">
      <c r="A32" s="1198" t="s">
        <v>543</v>
      </c>
      <c r="B32" s="1199" t="str">
        <f ca="1">'预评函-2'!D14</f>
        <v>伍拾贰亿肆仟陆佰玖拾陆万元整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北京市北京市海淀区双新村棚户区改造项目2603-003-1地块R2二类居住用地出让国有建设用地使用权</v>
      </c>
    </row>
    <row r="42" spans="1:2" s="1200" customFormat="1">
      <c r="A42" s="1198" t="s">
        <v>590</v>
      </c>
      <c r="B42" s="1199" t="str">
        <f>'预评函-3'!B2</f>
        <v>建筑面积</v>
      </c>
    </row>
    <row r="43" spans="1:2" s="1200" customFormat="1">
      <c r="A43" s="1198" t="s">
        <v>591</v>
      </c>
      <c r="B43" s="1199">
        <f>'预评函-3'!B4</f>
        <v>105107.27999999982</v>
      </c>
    </row>
    <row r="44" spans="1:2" s="1200" customFormat="1">
      <c r="A44" s="1198" t="s">
        <v>575</v>
      </c>
      <c r="B44" s="1199" t="str">
        <f>'预评函-3'!C2</f>
        <v>(分摊)土地面积</v>
      </c>
    </row>
    <row r="45" spans="1:2" s="1200" customFormat="1">
      <c r="A45" s="1198" t="s">
        <v>547</v>
      </c>
      <c r="B45" s="1199">
        <f>'预评函-3'!C4</f>
        <v>53915.27</v>
      </c>
    </row>
    <row r="46" spans="1:2" s="1200" customFormat="1">
      <c r="A46" s="1198" t="s">
        <v>573</v>
      </c>
      <c r="B46" s="1199" t="str">
        <f>'预评函-3'!D2</f>
        <v>出让国有建设用地使用权价值</v>
      </c>
    </row>
    <row r="47" spans="1:2" s="1200" customFormat="1">
      <c r="A47" s="1198" t="s">
        <v>548</v>
      </c>
      <c r="B47" s="1199" t="e">
        <f ca="1">'预评函-3'!D4</f>
        <v>#REF!</v>
      </c>
    </row>
    <row r="48" spans="1:2" s="1200" customFormat="1">
      <c r="A48" s="1198" t="s">
        <v>549</v>
      </c>
      <c r="B48" s="1199" t="e">
        <f ca="1">'预评函-3'!E4</f>
        <v>#REF!</v>
      </c>
    </row>
    <row r="49" spans="1:2" s="1200" customFormat="1">
      <c r="A49" s="1198" t="s">
        <v>550</v>
      </c>
      <c r="B49" s="1199" t="e">
        <f ca="1">'预评函-3'!D5</f>
        <v>#REF!</v>
      </c>
    </row>
    <row r="50" spans="1:2" s="1200" customFormat="1">
      <c r="A50" s="1198" t="s">
        <v>574</v>
      </c>
      <c r="B50" s="1199" t="str">
        <f>'预评函-3'!F2</f>
        <v>在建建筑物价值</v>
      </c>
    </row>
    <row r="51" spans="1:2" s="1200" customFormat="1">
      <c r="A51" s="1198" t="s">
        <v>551</v>
      </c>
      <c r="B51" s="1199" t="e">
        <f ca="1">'预评函-3'!F4</f>
        <v>#REF!</v>
      </c>
    </row>
    <row r="52" spans="1:2" s="1200" customFormat="1">
      <c r="A52" s="1198" t="s">
        <v>552</v>
      </c>
      <c r="B52" s="1199" t="e">
        <f ca="1">'预评函-3'!G4</f>
        <v>#REF!</v>
      </c>
    </row>
    <row r="53" spans="1:2" s="1200" customFormat="1">
      <c r="A53" s="1198" t="s">
        <v>580</v>
      </c>
      <c r="B53" s="1199" t="e">
        <f ca="1">'预评函-3'!F5</f>
        <v>#REF!</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t="str">
        <f>'预评函-4'!A4</f>
        <v>吴薇</v>
      </c>
    </row>
    <row r="71" spans="1:2">
      <c r="A71" s="1198" t="s">
        <v>563</v>
      </c>
      <c r="B71" s="1199">
        <f ca="1">'预评函-4'!B4</f>
        <v>1419970001</v>
      </c>
    </row>
    <row r="72" spans="1:2">
      <c r="A72" s="1198" t="s">
        <v>564</v>
      </c>
      <c r="B72" s="1207" t="str">
        <f>'预评函-4'!A5</f>
        <v>崔锴</v>
      </c>
    </row>
    <row r="73" spans="1:2" s="1194" customFormat="1" ht="15" thickBot="1">
      <c r="A73" s="1201" t="s">
        <v>565</v>
      </c>
      <c r="B73" s="1202">
        <f ca="1">'预评函-4'!B5</f>
        <v>1120100036</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3344</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3330</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3331</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3332</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3" t="s">
        <v>1015</v>
      </c>
      <c r="C5" s="1544" t="s">
        <v>318</v>
      </c>
      <c r="F5" s="1545" t="s">
        <v>1016</v>
      </c>
      <c r="G5" s="1545">
        <v>70</v>
      </c>
      <c r="H5" s="1545" t="s">
        <v>1017</v>
      </c>
      <c r="I5" s="1545" t="s">
        <v>3333</v>
      </c>
      <c r="K5" s="1545" t="s">
        <v>1018</v>
      </c>
      <c r="L5" s="1545" t="s">
        <v>1018</v>
      </c>
      <c r="M5" s="1545" t="s">
        <v>1018</v>
      </c>
      <c r="N5" s="1545" t="s">
        <v>1018</v>
      </c>
      <c r="O5" s="1545" t="s">
        <v>1018</v>
      </c>
      <c r="P5" s="1545" t="s">
        <v>1018</v>
      </c>
      <c r="Q5" s="1545" t="s">
        <v>1018</v>
      </c>
      <c r="R5" s="1545" t="s">
        <v>445</v>
      </c>
      <c r="S5" s="1545" t="s">
        <v>1018</v>
      </c>
      <c r="T5" s="1545" t="s">
        <v>1019</v>
      </c>
      <c r="U5" s="1545" t="s">
        <v>1018</v>
      </c>
      <c r="W5" s="1545" t="s">
        <v>1018</v>
      </c>
    </row>
    <row r="6" spans="1:23">
      <c r="A6" s="1543" t="s">
        <v>1020</v>
      </c>
      <c r="B6" s="1546" t="s">
        <v>449</v>
      </c>
      <c r="C6" s="1549" t="s">
        <v>24</v>
      </c>
      <c r="F6" s="1545" t="s">
        <v>1017</v>
      </c>
      <c r="H6" s="1545" t="s">
        <v>1021</v>
      </c>
      <c r="I6" s="1545" t="s">
        <v>3334</v>
      </c>
      <c r="K6" s="1545" t="s">
        <v>1022</v>
      </c>
      <c r="L6" s="1545" t="s">
        <v>1022</v>
      </c>
      <c r="M6" s="1545" t="s">
        <v>1022</v>
      </c>
      <c r="N6" s="1545" t="s">
        <v>1022</v>
      </c>
      <c r="O6" s="1545" t="s">
        <v>1022</v>
      </c>
      <c r="P6" s="1545" t="s">
        <v>1022</v>
      </c>
      <c r="Q6" s="1545" t="s">
        <v>1022</v>
      </c>
      <c r="R6" s="1545" t="s">
        <v>446</v>
      </c>
      <c r="S6" s="1545" t="s">
        <v>1022</v>
      </c>
      <c r="T6" s="1545"/>
      <c r="U6" s="1545" t="s">
        <v>1022</v>
      </c>
      <c r="W6" s="1545" t="s">
        <v>1022</v>
      </c>
    </row>
    <row r="7" spans="1:23">
      <c r="A7" s="1543" t="s">
        <v>1023</v>
      </c>
      <c r="B7" s="1546" t="s">
        <v>450</v>
      </c>
      <c r="C7" s="1544" t="s">
        <v>25</v>
      </c>
      <c r="F7" s="1545" t="s">
        <v>1024</v>
      </c>
      <c r="H7" s="1545" t="s">
        <v>1025</v>
      </c>
      <c r="I7" s="1545" t="s">
        <v>3335</v>
      </c>
    </row>
    <row r="8" spans="1:23">
      <c r="A8" s="1543" t="s">
        <v>1026</v>
      </c>
      <c r="B8" s="1543" t="s">
        <v>1027</v>
      </c>
      <c r="C8" s="1544" t="s">
        <v>319</v>
      </c>
      <c r="F8" s="1545" t="s">
        <v>1028</v>
      </c>
      <c r="H8" s="1545" t="s">
        <v>2570</v>
      </c>
      <c r="I8" s="1545" t="s">
        <v>3336</v>
      </c>
    </row>
    <row r="9" spans="1:23">
      <c r="A9" s="1543" t="s">
        <v>1029</v>
      </c>
      <c r="B9" s="1543" t="s">
        <v>1030</v>
      </c>
      <c r="C9" s="1544" t="s">
        <v>320</v>
      </c>
      <c r="F9" s="1545" t="s">
        <v>1031</v>
      </c>
      <c r="H9" s="1545"/>
      <c r="I9" s="1548" t="s">
        <v>3337</v>
      </c>
    </row>
    <row r="10" spans="1:23">
      <c r="A10" s="1543" t="s">
        <v>1032</v>
      </c>
      <c r="B10" s="1543" t="s">
        <v>1033</v>
      </c>
      <c r="C10" s="1544" t="s">
        <v>321</v>
      </c>
      <c r="F10" s="1545" t="s">
        <v>2571</v>
      </c>
      <c r="I10" s="1548" t="s">
        <v>3338</v>
      </c>
    </row>
    <row r="11" spans="1:23">
      <c r="A11" s="1543" t="s">
        <v>1034</v>
      </c>
      <c r="B11" s="1543" t="s">
        <v>1035</v>
      </c>
      <c r="C11" s="1544" t="s">
        <v>322</v>
      </c>
      <c r="F11" s="1545" t="s">
        <v>13</v>
      </c>
      <c r="I11" s="1548" t="s">
        <v>3339</v>
      </c>
    </row>
    <row r="12" spans="1:23">
      <c r="A12" s="1543" t="s">
        <v>1036</v>
      </c>
      <c r="B12" s="1543" t="s">
        <v>1037</v>
      </c>
      <c r="C12" s="1544" t="s">
        <v>323</v>
      </c>
      <c r="I12" s="1548" t="s">
        <v>3340</v>
      </c>
    </row>
    <row r="13" spans="1:23">
      <c r="A13" s="1543" t="s">
        <v>1038</v>
      </c>
      <c r="B13" s="1543" t="s">
        <v>1039</v>
      </c>
      <c r="C13" s="1544" t="s">
        <v>324</v>
      </c>
      <c r="I13" s="1548" t="s">
        <v>3341</v>
      </c>
    </row>
    <row r="14" spans="1:23">
      <c r="A14" s="1543" t="s">
        <v>1040</v>
      </c>
      <c r="B14" s="1543" t="s">
        <v>1041</v>
      </c>
      <c r="C14" s="1545" t="s">
        <v>13</v>
      </c>
      <c r="I14" s="1548" t="s">
        <v>3342</v>
      </c>
    </row>
    <row r="15" spans="1:23">
      <c r="A15" s="1543" t="s">
        <v>1042</v>
      </c>
      <c r="B15" s="1543" t="s">
        <v>1043</v>
      </c>
      <c r="C15" s="1544"/>
      <c r="I15" s="1548" t="s">
        <v>3343</v>
      </c>
    </row>
    <row r="16" spans="1:23">
      <c r="A16" s="1543" t="s">
        <v>1044</v>
      </c>
      <c r="B16" s="1543" t="s">
        <v>312</v>
      </c>
      <c r="C16" s="1544"/>
    </row>
    <row r="17" spans="1:3">
      <c r="A17" s="1543" t="s">
        <v>1045</v>
      </c>
      <c r="B17" s="1543" t="s">
        <v>2284</v>
      </c>
      <c r="C17" s="1544"/>
    </row>
    <row r="18" spans="1:3">
      <c r="A18" s="1543" t="s">
        <v>1046</v>
      </c>
      <c r="B18" s="1543" t="s">
        <v>2426</v>
      </c>
      <c r="C18" s="1544"/>
    </row>
    <row r="19" spans="1:3">
      <c r="A19" s="1543" t="s">
        <v>1047</v>
      </c>
      <c r="B19" s="1543" t="s">
        <v>313</v>
      </c>
      <c r="C19" s="1544"/>
    </row>
    <row r="20" spans="1:3">
      <c r="A20" s="1543" t="s">
        <v>1048</v>
      </c>
      <c r="B20" s="1543" t="s">
        <v>313</v>
      </c>
      <c r="C20" s="1544"/>
    </row>
    <row r="21" spans="1:3">
      <c r="A21" s="1543" t="s">
        <v>1049</v>
      </c>
      <c r="B21" s="1543" t="s">
        <v>313</v>
      </c>
      <c r="C21" s="1544"/>
    </row>
    <row r="22" spans="1:3">
      <c r="A22" s="1543" t="s">
        <v>1050</v>
      </c>
      <c r="B22" s="1543" t="s">
        <v>313</v>
      </c>
      <c r="C22" s="1544"/>
    </row>
    <row r="23" spans="1:3">
      <c r="A23" s="1543" t="s">
        <v>1051</v>
      </c>
      <c r="B23" s="1543" t="s">
        <v>313</v>
      </c>
      <c r="C23" s="1544"/>
    </row>
    <row r="24" spans="1:3">
      <c r="A24" s="1543" t="s">
        <v>1052</v>
      </c>
      <c r="B24" s="1543" t="s">
        <v>313</v>
      </c>
      <c r="C24" s="1544"/>
    </row>
    <row r="25" spans="1:3">
      <c r="A25" s="1543" t="s">
        <v>1053</v>
      </c>
      <c r="B25" s="1543" t="s">
        <v>313</v>
      </c>
      <c r="C25" s="1544"/>
    </row>
    <row r="26" spans="1:3">
      <c r="A26" s="1543" t="s">
        <v>1054</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为估价委托人在向建行办理贷款手续过程中，确定房地产抵押贷款额度提供参考依据而评估房地产抵押价值。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市海淀区双新村棚户区改造项目2603-003-1地块R2二类居住用地出让国有建设用地使用权作为抵押担保物，向建行办理贷款手续。建行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2"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1" t="s">
        <v>385</v>
      </c>
      <c r="C54" s="1548" t="s">
        <v>583</v>
      </c>
    </row>
    <row r="55" spans="1:4">
      <c r="A55" s="3512"/>
      <c r="B55" s="1551" t="s">
        <v>386</v>
      </c>
      <c r="C55" s="1548" t="s">
        <v>584</v>
      </c>
    </row>
    <row r="56" spans="1:4">
      <c r="A56" s="3512"/>
      <c r="B56" s="1551" t="s">
        <v>387</v>
      </c>
      <c r="C56" s="1548" t="s">
        <v>588</v>
      </c>
    </row>
    <row r="57" spans="1:4">
      <c r="A57" s="3512"/>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2493</v>
      </c>
      <c r="B1" s="3005"/>
      <c r="C1" s="3005"/>
      <c r="D1" s="3005"/>
      <c r="E1" s="3005"/>
      <c r="F1" s="3006"/>
      <c r="I1" s="3428" t="s">
        <v>2586</v>
      </c>
      <c r="J1" s="3217"/>
      <c r="K1" s="3217"/>
      <c r="L1" s="3217"/>
      <c r="M1" s="3217"/>
      <c r="N1" s="3429"/>
      <c r="O1" s="3429"/>
      <c r="P1" s="3429"/>
      <c r="Q1" s="3429"/>
      <c r="R1" s="3429"/>
    </row>
    <row r="2" spans="1:18">
      <c r="A2" s="3008"/>
      <c r="B2" s="3009"/>
      <c r="C2" s="3009"/>
      <c r="D2" s="3009"/>
      <c r="E2" s="3009"/>
      <c r="F2" s="3010"/>
      <c r="I2" s="3513" t="s">
        <v>2573</v>
      </c>
      <c r="J2" s="3513"/>
      <c r="K2" s="3513"/>
      <c r="L2" s="3513"/>
      <c r="M2" s="3513"/>
      <c r="N2" s="3513"/>
      <c r="O2" s="3513"/>
      <c r="P2" s="3513"/>
      <c r="Q2" s="3513"/>
      <c r="R2" s="3513"/>
    </row>
    <row r="3" spans="1:18">
      <c r="A3" s="3011" t="s">
        <v>2494</v>
      </c>
      <c r="B3" s="3012">
        <f>项目基本情况!D3</f>
        <v>45576</v>
      </c>
      <c r="C3" s="3014"/>
      <c r="D3" s="3014"/>
      <c r="E3" s="3014"/>
      <c r="F3" s="3010"/>
      <c r="I3" s="3430"/>
      <c r="J3" s="3430" t="s">
        <v>2577</v>
      </c>
      <c r="K3" s="3430" t="s">
        <v>2578</v>
      </c>
      <c r="L3" s="3430" t="s">
        <v>2579</v>
      </c>
      <c r="M3" s="3430" t="s">
        <v>2580</v>
      </c>
      <c r="N3" s="3431" t="s">
        <v>2581</v>
      </c>
      <c r="O3" s="3431" t="s">
        <v>2582</v>
      </c>
      <c r="P3" s="3431" t="s">
        <v>2583</v>
      </c>
      <c r="Q3" s="3431" t="s">
        <v>2584</v>
      </c>
      <c r="R3" s="3431" t="s">
        <v>2585</v>
      </c>
    </row>
    <row r="4" spans="1:18">
      <c r="A4" s="3011" t="s">
        <v>2495</v>
      </c>
      <c r="B4" s="3014" t="s">
        <v>2496</v>
      </c>
      <c r="C4" s="3014" t="s">
        <v>2497</v>
      </c>
      <c r="D4" s="3014" t="s">
        <v>2498</v>
      </c>
      <c r="E4" s="3014" t="s">
        <v>2499</v>
      </c>
      <c r="F4" s="3010"/>
      <c r="I4" s="3430" t="s">
        <v>2574</v>
      </c>
      <c r="J4" s="3430">
        <v>80</v>
      </c>
      <c r="K4" s="3430">
        <v>70</v>
      </c>
      <c r="L4" s="3430">
        <v>20</v>
      </c>
      <c r="M4" s="3430">
        <v>30</v>
      </c>
      <c r="N4" s="3014">
        <v>45</v>
      </c>
      <c r="O4" s="3014">
        <v>60</v>
      </c>
      <c r="P4" s="3014">
        <v>50</v>
      </c>
      <c r="Q4" s="3014">
        <v>20</v>
      </c>
      <c r="R4" s="3014">
        <v>375</v>
      </c>
    </row>
    <row r="5" spans="1:18">
      <c r="A5" s="3015">
        <v>40</v>
      </c>
      <c r="B5" s="3012">
        <v>46375</v>
      </c>
      <c r="C5" s="3014">
        <f>ROUNDDOWN(MIN((B5-B3)/365,A5),2)</f>
        <v>2.1800000000000002</v>
      </c>
      <c r="D5" s="3016">
        <f>IF(ISERROR(ROUND(POWER(1+E5,A5-C5)*(POWER(1+E5,C5)-1)/(POWER(1+E5,A5)-1),3)),0,ROUND(POWER(1+E5,A5-C5)*(POWER(1+E5,C5)-1)/(POWER(1+E5,A5)-1),4))</f>
        <v>0.10349999999999999</v>
      </c>
      <c r="E5" s="3017">
        <v>0.04</v>
      </c>
      <c r="F5" s="3010"/>
      <c r="I5" s="3430" t="s">
        <v>2575</v>
      </c>
      <c r="J5" s="3430">
        <v>70</v>
      </c>
      <c r="K5" s="3430">
        <v>60</v>
      </c>
      <c r="L5" s="3430">
        <v>15</v>
      </c>
      <c r="M5" s="3430">
        <v>25</v>
      </c>
      <c r="N5" s="3014">
        <v>40</v>
      </c>
      <c r="O5" s="3014">
        <v>50</v>
      </c>
      <c r="P5" s="3014">
        <v>40</v>
      </c>
      <c r="Q5" s="3014">
        <v>15</v>
      </c>
      <c r="R5" s="3014">
        <v>315</v>
      </c>
    </row>
    <row r="6" spans="1:18">
      <c r="A6" s="3015">
        <v>50</v>
      </c>
      <c r="B6" s="3012">
        <v>50028</v>
      </c>
      <c r="C6" s="3014">
        <f>ROUNDDOWN(MIN((B6-B3)/365,A6),2)</f>
        <v>12.19</v>
      </c>
      <c r="D6" s="3016">
        <f>IF(ISERROR(ROUND(POWER(1+E6,A6-C6)*(POWER(1+E6,C6)-1)/(POWER(1+E6,A6)-1),3)),0,ROUND(POWER(1+E6,A6-C6)*(POWER(1+E6,C6)-1)/(POWER(1+E6,A6)-1),4))</f>
        <v>0.44230000000000003</v>
      </c>
      <c r="E6" s="3017">
        <v>0.04</v>
      </c>
      <c r="F6" s="3010"/>
      <c r="I6" s="3430" t="s">
        <v>2576</v>
      </c>
      <c r="J6" s="3430">
        <v>60</v>
      </c>
      <c r="K6" s="3430">
        <v>50</v>
      </c>
      <c r="L6" s="3430">
        <v>10</v>
      </c>
      <c r="M6" s="3430">
        <v>20</v>
      </c>
      <c r="N6" s="3014">
        <v>35</v>
      </c>
      <c r="O6" s="3014">
        <v>40</v>
      </c>
      <c r="P6" s="3014">
        <v>30</v>
      </c>
      <c r="Q6" s="3014">
        <v>10</v>
      </c>
      <c r="R6" s="3014">
        <v>255</v>
      </c>
    </row>
    <row r="7" spans="1:18">
      <c r="A7" s="3015">
        <v>70</v>
      </c>
      <c r="B7" s="3012">
        <v>57333</v>
      </c>
      <c r="C7" s="3014">
        <f>ROUNDDOWN(MIN((B7-B3)/365,A7),2)</f>
        <v>32.21</v>
      </c>
      <c r="D7" s="3016">
        <f>IF(ISERROR(ROUND(POWER(1+E7,A7-C7)*(POWER(1+E7,C7)-1)/(POWER(1+E7,A7)-1),3)),0,ROUND(POWER(1+E7,A7-C7)*(POWER(1+E7,C7)-1)/(POWER(1+E7,A7)-1),4))</f>
        <v>0.76649999999999996</v>
      </c>
      <c r="E7" s="3017">
        <v>0.04</v>
      </c>
      <c r="F7" s="3010"/>
    </row>
    <row r="8" spans="1:18">
      <c r="A8" s="3008"/>
      <c r="B8" s="3009"/>
      <c r="C8" s="3009"/>
      <c r="D8" s="3009"/>
      <c r="E8" s="3009"/>
      <c r="F8" s="3010"/>
    </row>
    <row r="9" spans="1:18">
      <c r="A9" s="3011" t="s">
        <v>2500</v>
      </c>
      <c r="B9" s="3014"/>
      <c r="C9" s="3014"/>
      <c r="D9" s="3014"/>
      <c r="E9" s="3014"/>
      <c r="F9" s="3018"/>
    </row>
    <row r="10" spans="1:18">
      <c r="A10" s="3011" t="s">
        <v>2501</v>
      </c>
      <c r="B10" s="3014"/>
      <c r="C10" s="3014"/>
      <c r="D10" s="3014" t="s">
        <v>2499</v>
      </c>
      <c r="E10" s="3014"/>
      <c r="F10" s="3018" t="s">
        <v>2498</v>
      </c>
    </row>
    <row r="11" spans="1:18">
      <c r="A11" s="3011" t="s">
        <v>2502</v>
      </c>
      <c r="B11" s="3019">
        <v>70</v>
      </c>
      <c r="C11" s="3014" t="s">
        <v>2503</v>
      </c>
      <c r="D11" s="3020">
        <v>4.4999999999999998E-2</v>
      </c>
      <c r="E11" s="3014" t="s">
        <v>2504</v>
      </c>
      <c r="F11" s="3021">
        <f>ROUND(1-(1/(POWER(1+D11,B11))),4)</f>
        <v>0.95409999999999995</v>
      </c>
    </row>
    <row r="12" spans="1:18">
      <c r="A12" s="3011" t="s">
        <v>2505</v>
      </c>
      <c r="B12" s="3019">
        <v>40</v>
      </c>
      <c r="C12" s="3014" t="s">
        <v>2506</v>
      </c>
      <c r="D12" s="3020">
        <v>4.4999999999999998E-2</v>
      </c>
      <c r="E12" s="3014" t="s">
        <v>2507</v>
      </c>
      <c r="F12" s="3021">
        <f>ROUND(1-(1/(POWER(1+D12,B12))),4)</f>
        <v>0.82809999999999995</v>
      </c>
    </row>
    <row r="13" spans="1:18">
      <c r="A13" s="3011" t="s">
        <v>2508</v>
      </c>
      <c r="B13" s="3014"/>
      <c r="C13" s="3014"/>
      <c r="D13" s="3009"/>
      <c r="E13" s="3009"/>
      <c r="F13" s="3010"/>
    </row>
    <row r="14" spans="1:18">
      <c r="A14" s="3011" t="s">
        <v>2509</v>
      </c>
      <c r="B14" s="3019">
        <v>5000</v>
      </c>
      <c r="C14" s="3013"/>
      <c r="D14" s="3009"/>
      <c r="E14" s="3009"/>
      <c r="F14" s="3010"/>
    </row>
    <row r="15" spans="1:18">
      <c r="A15" s="3011" t="s">
        <v>2510</v>
      </c>
      <c r="B15" s="3014">
        <f>ROUND(B14*F12/F11,2)</f>
        <v>4339.6899999999996</v>
      </c>
      <c r="C15" s="3014">
        <f>ROUND(F12/F11,4)</f>
        <v>0.8679</v>
      </c>
      <c r="D15" s="3009"/>
      <c r="E15" s="3009"/>
      <c r="F15" s="3010"/>
    </row>
    <row r="16" spans="1:18">
      <c r="A16" s="3011" t="s">
        <v>2511</v>
      </c>
      <c r="B16" s="3014"/>
      <c r="C16" s="3014"/>
      <c r="D16" s="3009"/>
      <c r="E16" s="3009"/>
      <c r="F16" s="3010"/>
    </row>
    <row r="17" spans="1:13">
      <c r="A17" s="3011" t="s">
        <v>2510</v>
      </c>
      <c r="B17" s="3020">
        <v>4810</v>
      </c>
      <c r="C17" s="3013"/>
      <c r="D17" s="3009"/>
      <c r="E17" s="3009"/>
      <c r="F17" s="3010"/>
    </row>
    <row r="18" spans="1:13" ht="14.25" thickBot="1">
      <c r="A18" s="3022" t="s">
        <v>2509</v>
      </c>
      <c r="B18" s="3023">
        <f>ROUND(B17*F11/F12,2)</f>
        <v>5541.87</v>
      </c>
      <c r="C18" s="3023">
        <f>ROUND(F11/F12,4)</f>
        <v>1.1521999999999999</v>
      </c>
      <c r="D18" s="3024"/>
      <c r="E18" s="3024"/>
      <c r="F18" s="3025"/>
    </row>
    <row r="19" spans="1:13" ht="14.25" thickBot="1"/>
    <row r="20" spans="1:13" s="3060" customFormat="1" ht="14.25" thickTop="1">
      <c r="A20" s="3057" t="s">
        <v>2512</v>
      </c>
      <c r="B20" s="3058"/>
      <c r="C20" s="3058"/>
      <c r="D20" s="3058"/>
      <c r="E20" s="3058"/>
      <c r="F20" s="3058"/>
      <c r="G20" s="3059"/>
      <c r="I20" s="3061" t="s">
        <v>2557</v>
      </c>
      <c r="J20" s="3061" t="s">
        <v>2562</v>
      </c>
      <c r="K20" s="3061"/>
      <c r="L20" s="3061"/>
      <c r="M20" s="3061"/>
    </row>
    <row r="21" spans="1:13">
      <c r="A21" s="3026"/>
      <c r="B21" s="3027" t="s">
        <v>2513</v>
      </c>
      <c r="C21" s="3027" t="s">
        <v>2514</v>
      </c>
      <c r="D21" s="3027" t="s">
        <v>2515</v>
      </c>
      <c r="E21" s="3027" t="s">
        <v>2516</v>
      </c>
      <c r="F21" s="3027" t="s">
        <v>2517</v>
      </c>
      <c r="G21" s="3028" t="s">
        <v>2518</v>
      </c>
      <c r="I21" s="3049">
        <v>5</v>
      </c>
      <c r="J21" s="3049">
        <v>54.2</v>
      </c>
    </row>
    <row r="22" spans="1:13">
      <c r="A22" s="3026" t="s">
        <v>2519</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2520</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2560</v>
      </c>
      <c r="M23" s="3049" t="s">
        <v>2561</v>
      </c>
    </row>
    <row r="24" spans="1:13">
      <c r="A24" s="3026" t="s">
        <v>2521</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2559</v>
      </c>
      <c r="M24" s="3049">
        <v>10</v>
      </c>
    </row>
    <row r="25" spans="1:13">
      <c r="A25" s="3026" t="s">
        <v>2522</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2563</v>
      </c>
      <c r="M25" s="3049">
        <v>8</v>
      </c>
    </row>
    <row r="26" spans="1:13">
      <c r="A26" s="3031"/>
      <c r="B26" s="3032"/>
      <c r="C26" s="3032"/>
      <c r="D26" s="3032"/>
      <c r="E26" s="3032"/>
      <c r="F26" s="3032"/>
      <c r="G26" s="3033"/>
      <c r="I26" s="3049">
        <v>30</v>
      </c>
      <c r="J26" s="3049">
        <v>90.5</v>
      </c>
      <c r="K26" s="3049">
        <f t="shared" si="2"/>
        <v>4.2000000000000028</v>
      </c>
      <c r="L26" s="3049" t="s">
        <v>2564</v>
      </c>
      <c r="M26" s="3049">
        <v>5</v>
      </c>
    </row>
    <row r="27" spans="1:13">
      <c r="A27" s="3031" t="s">
        <v>2523</v>
      </c>
      <c r="B27" s="3032"/>
      <c r="C27" s="3032"/>
      <c r="D27" s="3032"/>
      <c r="E27" s="3032"/>
      <c r="F27" s="3032"/>
      <c r="G27" s="3033"/>
      <c r="I27" s="3049">
        <v>35</v>
      </c>
      <c r="J27" s="3049">
        <v>93.8</v>
      </c>
      <c r="K27" s="3049">
        <f t="shared" si="2"/>
        <v>3.2999999999999972</v>
      </c>
      <c r="L27" s="3049" t="s">
        <v>2565</v>
      </c>
      <c r="M27" s="3049">
        <v>3</v>
      </c>
    </row>
    <row r="28" spans="1:13">
      <c r="A28" s="3031" t="s">
        <v>2524</v>
      </c>
      <c r="B28" s="3032"/>
      <c r="C28" s="3032"/>
      <c r="D28" s="3032"/>
      <c r="E28" s="3032"/>
      <c r="F28" s="3032"/>
      <c r="G28" s="3033"/>
      <c r="I28" s="3049">
        <v>40</v>
      </c>
      <c r="J28" s="3049">
        <v>96.4</v>
      </c>
      <c r="K28" s="3049">
        <f t="shared" si="2"/>
        <v>2.6000000000000085</v>
      </c>
      <c r="L28" s="3049" t="s">
        <v>2566</v>
      </c>
      <c r="M28" s="3049">
        <v>2</v>
      </c>
    </row>
    <row r="29" spans="1:13">
      <c r="A29" s="3031" t="s">
        <v>2525</v>
      </c>
      <c r="B29" s="3032"/>
      <c r="C29" s="3032"/>
      <c r="D29" s="3032"/>
      <c r="E29" s="3032"/>
      <c r="F29" s="3032"/>
      <c r="G29" s="3033"/>
      <c r="I29" s="3049">
        <v>45</v>
      </c>
      <c r="J29" s="3049">
        <v>98.4</v>
      </c>
      <c r="K29" s="3049">
        <f t="shared" si="2"/>
        <v>2</v>
      </c>
    </row>
    <row r="30" spans="1:13">
      <c r="A30" s="3031" t="s">
        <v>2526</v>
      </c>
      <c r="B30" s="3032"/>
      <c r="C30" s="3032"/>
      <c r="D30" s="3032"/>
      <c r="E30" s="3032"/>
      <c r="F30" s="3032"/>
      <c r="G30" s="3033"/>
      <c r="I30" s="3049">
        <v>50</v>
      </c>
      <c r="J30" s="3049">
        <v>100</v>
      </c>
      <c r="K30" s="3049">
        <f t="shared" si="2"/>
        <v>1.5999999999999943</v>
      </c>
    </row>
    <row r="31" spans="1:13">
      <c r="A31" s="3031" t="s">
        <v>2527</v>
      </c>
      <c r="B31" s="3032"/>
      <c r="C31" s="3032"/>
      <c r="D31" s="3032"/>
      <c r="E31" s="3032"/>
      <c r="F31" s="3032"/>
      <c r="G31" s="3033"/>
      <c r="I31" s="3049" t="s">
        <v>2558</v>
      </c>
    </row>
    <row r="32" spans="1:13">
      <c r="A32" s="3031" t="s">
        <v>2528</v>
      </c>
      <c r="B32" s="3032"/>
      <c r="C32" s="3032"/>
      <c r="D32" s="3032"/>
      <c r="E32" s="3032"/>
      <c r="F32" s="3032"/>
      <c r="G32" s="3033"/>
    </row>
    <row r="33" spans="1:13">
      <c r="A33" s="3031" t="s">
        <v>2529</v>
      </c>
      <c r="B33" s="3032"/>
      <c r="C33" s="3032"/>
      <c r="D33" s="3032"/>
      <c r="E33" s="3032"/>
      <c r="F33" s="3032"/>
      <c r="G33" s="3033"/>
      <c r="I33" s="3049" t="s">
        <v>2557</v>
      </c>
      <c r="J33" s="3049" t="s">
        <v>2567</v>
      </c>
    </row>
    <row r="34" spans="1:13">
      <c r="A34" s="3031" t="s">
        <v>2530</v>
      </c>
      <c r="B34" s="3032"/>
      <c r="C34" s="3032"/>
      <c r="D34" s="3032"/>
      <c r="E34" s="3032"/>
      <c r="F34" s="3032"/>
      <c r="G34" s="3033"/>
      <c r="I34" s="3049">
        <v>5</v>
      </c>
      <c r="J34" s="3049">
        <v>55.1</v>
      </c>
    </row>
    <row r="35" spans="1:13">
      <c r="A35" s="3031" t="s">
        <v>2531</v>
      </c>
      <c r="B35" s="3032"/>
      <c r="C35" s="3032"/>
      <c r="D35" s="3032"/>
      <c r="E35" s="3032"/>
      <c r="F35" s="3032"/>
      <c r="G35" s="3033"/>
      <c r="I35" s="3049">
        <v>10</v>
      </c>
      <c r="J35" s="3049">
        <v>67</v>
      </c>
      <c r="K35" s="3049">
        <f>J35-J34</f>
        <v>11.899999999999999</v>
      </c>
    </row>
    <row r="36" spans="1:13">
      <c r="A36" s="3031" t="s">
        <v>2532</v>
      </c>
      <c r="B36" s="3032"/>
      <c r="C36" s="3032"/>
      <c r="D36" s="3032"/>
      <c r="E36" s="3032"/>
      <c r="F36" s="3032"/>
      <c r="G36" s="3033"/>
      <c r="I36" s="3049">
        <v>15</v>
      </c>
      <c r="J36" s="3049">
        <v>76.3</v>
      </c>
      <c r="K36" s="3049">
        <f t="shared" ref="K36:K41" si="3">J36-J35</f>
        <v>9.2999999999999972</v>
      </c>
      <c r="L36" s="3049" t="s">
        <v>2560</v>
      </c>
      <c r="M36" s="3049" t="s">
        <v>2561</v>
      </c>
    </row>
    <row r="37" spans="1:13">
      <c r="A37" s="3031" t="s">
        <v>2533</v>
      </c>
      <c r="B37" s="3032"/>
      <c r="C37" s="3032"/>
      <c r="D37" s="3032"/>
      <c r="E37" s="3032"/>
      <c r="F37" s="3032"/>
      <c r="G37" s="3033"/>
      <c r="I37" s="3049">
        <v>20</v>
      </c>
      <c r="J37" s="3049">
        <v>83.6</v>
      </c>
      <c r="K37" s="3049">
        <f t="shared" si="3"/>
        <v>7.2999999999999972</v>
      </c>
      <c r="L37" s="3049" t="s">
        <v>2559</v>
      </c>
      <c r="M37" s="3049">
        <v>10</v>
      </c>
    </row>
    <row r="38" spans="1:13">
      <c r="A38" s="3031" t="s">
        <v>2534</v>
      </c>
      <c r="B38" s="3032"/>
      <c r="C38" s="3032"/>
      <c r="D38" s="3032"/>
      <c r="E38" s="3032"/>
      <c r="F38" s="3032"/>
      <c r="G38" s="3033"/>
      <c r="I38" s="3049">
        <v>25</v>
      </c>
      <c r="J38" s="3049">
        <v>89.3</v>
      </c>
      <c r="K38" s="3049">
        <f t="shared" si="3"/>
        <v>5.7000000000000028</v>
      </c>
      <c r="L38" s="3049" t="s">
        <v>2563</v>
      </c>
      <c r="M38" s="3049">
        <v>8</v>
      </c>
    </row>
    <row r="39" spans="1:13">
      <c r="A39" s="3031"/>
      <c r="B39" s="3032"/>
      <c r="C39" s="3032"/>
      <c r="D39" s="3032"/>
      <c r="E39" s="3032"/>
      <c r="F39" s="3032"/>
      <c r="G39" s="3033"/>
      <c r="I39" s="3049">
        <v>30</v>
      </c>
      <c r="J39" s="3049">
        <v>93.8</v>
      </c>
      <c r="K39" s="3049">
        <f t="shared" si="3"/>
        <v>4.5</v>
      </c>
      <c r="L39" s="3049" t="s">
        <v>2564</v>
      </c>
      <c r="M39" s="3049">
        <v>6</v>
      </c>
    </row>
    <row r="40" spans="1:13">
      <c r="A40" s="3034" t="s">
        <v>2535</v>
      </c>
      <c r="B40" s="3035"/>
      <c r="C40" s="3035"/>
      <c r="D40" s="3035"/>
      <c r="E40" s="3035"/>
      <c r="F40" s="3035"/>
      <c r="G40" s="3036"/>
      <c r="I40" s="3049">
        <v>35</v>
      </c>
      <c r="J40" s="3049">
        <v>97.2</v>
      </c>
      <c r="K40" s="3049">
        <f t="shared" si="3"/>
        <v>3.4000000000000057</v>
      </c>
      <c r="L40" s="3049" t="s">
        <v>2565</v>
      </c>
      <c r="M40" s="3049">
        <v>3</v>
      </c>
    </row>
    <row r="41" spans="1:13">
      <c r="A41" s="3037" t="s">
        <v>2536</v>
      </c>
      <c r="B41" s="3038" t="s">
        <v>2537</v>
      </c>
      <c r="C41" s="3039" t="s">
        <v>2538</v>
      </c>
      <c r="D41" s="3039" t="s">
        <v>2539</v>
      </c>
      <c r="E41" s="3040"/>
      <c r="F41" s="3041"/>
      <c r="G41" s="3042"/>
      <c r="I41" s="3049">
        <v>40</v>
      </c>
      <c r="J41" s="3049">
        <v>100</v>
      </c>
      <c r="K41" s="3049">
        <f t="shared" si="3"/>
        <v>2.7999999999999972</v>
      </c>
    </row>
    <row r="42" spans="1:13">
      <c r="A42" s="3037" t="s">
        <v>2540</v>
      </c>
      <c r="B42" s="3038" t="s">
        <v>2541</v>
      </c>
      <c r="C42" s="3039" t="s">
        <v>2542</v>
      </c>
      <c r="D42" s="3043" t="s">
        <v>2543</v>
      </c>
      <c r="E42" s="3035" t="s">
        <v>2544</v>
      </c>
      <c r="F42" s="3035"/>
      <c r="G42" s="3036"/>
    </row>
    <row r="43" spans="1:13">
      <c r="A43" s="3037" t="s">
        <v>2545</v>
      </c>
      <c r="B43" s="3038" t="s">
        <v>2546</v>
      </c>
      <c r="C43" s="3039" t="s">
        <v>2547</v>
      </c>
      <c r="D43" s="3039" t="s">
        <v>2548</v>
      </c>
      <c r="E43" s="3040" t="s">
        <v>2549</v>
      </c>
      <c r="F43" s="3041"/>
      <c r="G43" s="3042"/>
      <c r="I43" s="3049" t="s">
        <v>2557</v>
      </c>
      <c r="J43" s="3049" t="s">
        <v>2568</v>
      </c>
    </row>
    <row r="44" spans="1:13">
      <c r="A44" s="3037" t="s">
        <v>2550</v>
      </c>
      <c r="B44" s="3038" t="s">
        <v>2551</v>
      </c>
      <c r="C44" s="3039" t="s">
        <v>2552</v>
      </c>
      <c r="D44" s="3043">
        <v>0.5</v>
      </c>
      <c r="E44" s="3040" t="s">
        <v>2553</v>
      </c>
      <c r="F44" s="3041"/>
      <c r="G44" s="3042"/>
      <c r="I44" s="3049">
        <v>30</v>
      </c>
      <c r="J44" s="3049">
        <v>81.7</v>
      </c>
    </row>
    <row r="45" spans="1:13" ht="14.25" thickBot="1">
      <c r="A45" s="3044" t="s">
        <v>2554</v>
      </c>
      <c r="B45" s="3045" t="s">
        <v>2541</v>
      </c>
      <c r="C45" s="3046" t="s">
        <v>2541</v>
      </c>
      <c r="D45" s="3046" t="s">
        <v>2555</v>
      </c>
      <c r="E45" s="3047" t="s">
        <v>2556</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7" sqref="B7"/>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19" customWidth="1"/>
    <col min="12" max="13" width="10" style="2620"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0" t="s">
        <v>2166</v>
      </c>
      <c r="B1" s="3522" t="str">
        <f>IF(B10="北京市","北京市",C10)&amp;F10&amp;IF(结果表!G1="在建","出让国有建设用地使用权及在建建筑物",IF(结果表!G1="土地","出让国有建设用地使用权",))&amp;B9&amp;"预评估"</f>
        <v>北京市北京市海淀区双新村棚户区改造项目2603-003-1地块R2二类居住用地出让国有建设用地使用权房地产抵押价值预评估</v>
      </c>
      <c r="C1" s="3523"/>
      <c r="D1" s="3523"/>
      <c r="E1" s="3523"/>
      <c r="F1" s="3523"/>
      <c r="G1" s="3523"/>
      <c r="H1" s="3523"/>
      <c r="I1" s="3524"/>
      <c r="J1" s="2462"/>
      <c r="K1" s="2362"/>
      <c r="L1" s="2363"/>
      <c r="M1" s="2363"/>
      <c r="N1" s="2364"/>
      <c r="O1" s="1573"/>
      <c r="P1" s="2364"/>
      <c r="Q1" s="2364"/>
      <c r="R1" s="2364"/>
      <c r="S1" s="1679" t="str">
        <f>IF(B10="北京市","北京市",C10)&amp;F10&amp;IF(结果表!G1="在建","出让国有建设用地使用权及在建建筑物房地产抵押价值",IF(结果表!G1="土地","出让国有建设用地使用权抵押价值",B9))</f>
        <v>北京市北京市海淀区双新村棚户区改造项目2603-003-1地块R2二类居住用地出让国有建设用地使用权抵押价值</v>
      </c>
      <c r="T1" s="1742"/>
      <c r="U1" s="1742"/>
      <c r="V1" s="1742"/>
      <c r="W1" s="1742"/>
      <c r="X1" s="1742"/>
      <c r="Y1" s="1742"/>
      <c r="Z1" s="1742"/>
      <c r="AA1" s="1742"/>
      <c r="AB1" s="1742"/>
    </row>
    <row r="2" spans="1:30">
      <c r="A2" s="2361" t="s">
        <v>2167</v>
      </c>
      <c r="B2" s="2365"/>
      <c r="C2" s="2366"/>
      <c r="D2" s="2661"/>
      <c r="E2" s="2653"/>
      <c r="F2" s="2653"/>
      <c r="G2" s="2654"/>
      <c r="H2" s="2654"/>
      <c r="I2" s="2654"/>
      <c r="J2" s="2462"/>
      <c r="K2" s="2362"/>
      <c r="L2" s="2363"/>
      <c r="M2" s="2363"/>
      <c r="N2" s="2364"/>
      <c r="O2" s="1573"/>
      <c r="P2" s="2364"/>
      <c r="Q2" s="2364"/>
      <c r="R2" s="2364"/>
      <c r="S2" s="1679" t="str">
        <f>IF(B10="北京市","北京市",C10)&amp;F10&amp;IF(结果表!G1="在建","出让国有建设用地使用权及在建建筑物房地产",IF(结果表!G1="土地","出让国有建设用地使用权","房地产"))</f>
        <v>北京市北京市海淀区双新村棚户区改造项目2603-003-1地块R2二类居住用地出让国有建设用地使用权</v>
      </c>
      <c r="T2" s="1742"/>
      <c r="U2" s="1742"/>
      <c r="V2" s="1742"/>
      <c r="W2" s="1742"/>
      <c r="X2" s="1742"/>
      <c r="Y2" s="1742"/>
      <c r="Z2" s="1742"/>
      <c r="AA2" s="1742"/>
      <c r="AB2" s="1742"/>
    </row>
    <row r="3" spans="1:30">
      <c r="A3" s="302" t="s">
        <v>2168</v>
      </c>
      <c r="B3" s="2367">
        <v>45576</v>
      </c>
      <c r="C3" s="2368" t="s">
        <v>2169</v>
      </c>
      <c r="D3" s="2367">
        <f>B3</f>
        <v>45576</v>
      </c>
      <c r="E3" s="2654"/>
      <c r="F3" s="2654"/>
      <c r="G3" s="2654"/>
      <c r="H3" s="2654"/>
      <c r="I3" s="2654"/>
      <c r="J3" s="2462"/>
      <c r="K3" s="2362"/>
      <c r="L3" s="2363"/>
      <c r="M3" s="2363"/>
      <c r="N3" s="2364"/>
      <c r="O3" s="1573"/>
      <c r="P3" s="2364"/>
      <c r="Q3" s="2364"/>
      <c r="R3" s="2364"/>
      <c r="S3" s="1679"/>
      <c r="T3" s="1742"/>
      <c r="U3" s="1742"/>
      <c r="V3" s="1742"/>
      <c r="W3" s="1742"/>
      <c r="X3" s="1742"/>
      <c r="Y3" s="1742"/>
      <c r="Z3" s="1742"/>
      <c r="AA3" s="1742"/>
      <c r="AB3" s="1742"/>
    </row>
    <row r="4" spans="1:30" ht="13.5" thickBot="1">
      <c r="A4" s="1088" t="s">
        <v>2170</v>
      </c>
      <c r="B4" s="2369" t="s">
        <v>3379</v>
      </c>
      <c r="C4" s="2370">
        <f ca="1">SUMIF(注册房地产估价师,B4,估价师及机构信息!B3:B24)</f>
        <v>1419970001</v>
      </c>
      <c r="D4" s="2369" t="s">
        <v>3380</v>
      </c>
      <c r="E4" s="2371">
        <f ca="1">SUMIF(注册房地产估价师,D4,估价师及机构信息!B3:B24)</f>
        <v>1120100036</v>
      </c>
      <c r="F4" s="2369"/>
      <c r="G4" s="2371">
        <f>SUMIF(注册房地产估价师,F4,估价师及机构信息!B3:B24)</f>
        <v>0</v>
      </c>
      <c r="H4" s="2369"/>
      <c r="I4" s="2371">
        <f>SUMIF(注册房地产估价师,H4,估价师及机构信息!B3:B24)</f>
        <v>0</v>
      </c>
      <c r="J4" s="2432"/>
      <c r="K4" s="2372" t="str">
        <f ca="1">CONCATENATE(B4,"（注册号：",C4,")、",D4,"（注册号：",E4,")")</f>
        <v>吴薇（注册号：1419970001)、崔锴（注册号：1120100036)</v>
      </c>
      <c r="L4" s="2363"/>
      <c r="M4" s="2363"/>
      <c r="N4" s="2364"/>
      <c r="O4" s="1573"/>
      <c r="P4" s="2364"/>
      <c r="Q4" s="2364"/>
      <c r="R4" s="2364"/>
      <c r="S4" s="1679"/>
      <c r="T4" s="1742"/>
      <c r="U4" s="1742"/>
      <c r="V4" s="1742"/>
      <c r="W4" s="1742"/>
      <c r="X4" s="1742"/>
      <c r="Y4" s="1742"/>
      <c r="Z4" s="1742"/>
      <c r="AA4" s="1742"/>
      <c r="AB4" s="1742"/>
    </row>
    <row r="5" spans="1:30" ht="13.5" thickTop="1">
      <c r="A5" s="2373" t="s">
        <v>2171</v>
      </c>
      <c r="B5" s="2374"/>
      <c r="C5" s="2375"/>
      <c r="D5" s="2376"/>
      <c r="E5" s="2655"/>
      <c r="F5" s="2655"/>
      <c r="G5" s="2655"/>
      <c r="H5" s="2655"/>
      <c r="I5" s="2655"/>
      <c r="J5" s="2432"/>
      <c r="K5" s="2372" t="str">
        <f>IF(F4="——","",IF(H4="——",F4&amp;"（注册号："&amp;G4&amp;")",CONCATENATE(F4,"（注册号：",G4,")、",H4,"（注册号：",I4,")")))</f>
        <v>（注册号：0)、（注册号：0)</v>
      </c>
      <c r="L5" s="2363"/>
      <c r="M5" s="2363"/>
      <c r="N5" s="2364"/>
      <c r="O5" s="1573"/>
      <c r="P5" s="2364"/>
      <c r="Q5" s="2364"/>
      <c r="R5" s="2364"/>
      <c r="S5" s="1742"/>
      <c r="T5" s="1742"/>
      <c r="U5" s="1742"/>
      <c r="V5" s="1742"/>
      <c r="W5" s="1742"/>
      <c r="X5" s="1742"/>
      <c r="Y5" s="1742"/>
      <c r="Z5" s="1742"/>
      <c r="AA5" s="1742"/>
      <c r="AB5" s="1742"/>
    </row>
    <row r="6" spans="1:30">
      <c r="A6" s="2377" t="s">
        <v>2172</v>
      </c>
      <c r="B6" s="3813" t="s">
        <v>3901</v>
      </c>
      <c r="C6" s="2378"/>
      <c r="D6" s="2379"/>
      <c r="E6" s="2653"/>
      <c r="F6" s="2655"/>
      <c r="G6" s="2655"/>
      <c r="H6" s="2655"/>
      <c r="I6" s="2655"/>
      <c r="J6" s="2432"/>
      <c r="K6" s="2606" t="str">
        <f>IF(COUNTIF(B6,"*上海银行*"),"上海银行","")</f>
        <v/>
      </c>
      <c r="L6" s="2604"/>
      <c r="M6" s="2604"/>
      <c r="N6" s="2432"/>
      <c r="O6" s="2443"/>
      <c r="P6" s="2432"/>
      <c r="Q6" s="2432"/>
      <c r="R6" s="2432"/>
    </row>
    <row r="7" spans="1:30">
      <c r="A7" s="2377" t="s">
        <v>2173</v>
      </c>
      <c r="B7" s="2380"/>
      <c r="C7" s="2378"/>
      <c r="D7" s="2379"/>
      <c r="E7" s="2653"/>
      <c r="F7" s="2655"/>
      <c r="G7" s="2655"/>
      <c r="H7" s="2655"/>
      <c r="I7" s="2655"/>
      <c r="J7" s="2432"/>
      <c r="K7" s="2607"/>
      <c r="L7" s="2604"/>
      <c r="M7" s="2604"/>
      <c r="N7" s="2432"/>
      <c r="O7" s="2443"/>
      <c r="P7" s="2432"/>
      <c r="Q7" s="2432"/>
      <c r="R7" s="2432"/>
    </row>
    <row r="8" spans="1:30">
      <c r="A8" s="2381" t="s">
        <v>2174</v>
      </c>
      <c r="B8" s="2382" t="s">
        <v>3381</v>
      </c>
      <c r="C8" s="2383"/>
      <c r="D8" s="3525" t="s">
        <v>2175</v>
      </c>
      <c r="E8" s="2384" t="s">
        <v>3382</v>
      </c>
      <c r="F8" s="2385"/>
      <c r="G8" s="2654"/>
      <c r="H8" s="2654"/>
      <c r="I8" s="2654"/>
      <c r="J8" s="2432"/>
      <c r="K8" s="2605"/>
      <c r="L8" s="2604"/>
      <c r="M8" s="2604"/>
      <c r="N8" s="2432"/>
      <c r="O8" s="2443"/>
      <c r="P8" s="2432"/>
      <c r="Q8" s="2432"/>
      <c r="R8" s="2432"/>
    </row>
    <row r="9" spans="1:30" ht="13.5" thickBot="1">
      <c r="A9" s="2386" t="s">
        <v>2176</v>
      </c>
      <c r="B9" s="2387" t="s">
        <v>3382</v>
      </c>
      <c r="C9" s="2388"/>
      <c r="D9" s="3526"/>
      <c r="E9" s="2387" t="s">
        <v>43</v>
      </c>
      <c r="F9" s="2389"/>
      <c r="G9" s="2656"/>
      <c r="H9" s="2656"/>
      <c r="I9" s="2656"/>
      <c r="J9" s="2432"/>
      <c r="K9" s="2607"/>
      <c r="L9" s="2604"/>
      <c r="M9" s="2604"/>
      <c r="N9" s="2432"/>
      <c r="O9" s="2443"/>
      <c r="P9" s="2432"/>
      <c r="Q9" s="2432"/>
      <c r="R9" s="2432"/>
    </row>
    <row r="10" spans="1:30" ht="13.5" thickTop="1">
      <c r="A10" s="2390" t="s">
        <v>2177</v>
      </c>
      <c r="B10" s="2391" t="s">
        <v>3383</v>
      </c>
      <c r="C10" s="2392"/>
      <c r="D10" s="2376"/>
      <c r="E10" s="2393" t="s">
        <v>2178</v>
      </c>
      <c r="F10" s="2657" t="s">
        <v>3384</v>
      </c>
      <c r="G10" s="2658"/>
      <c r="H10" s="2659"/>
      <c r="I10" s="2660"/>
      <c r="J10" s="2432"/>
      <c r="K10" s="2607"/>
      <c r="L10" s="2604"/>
      <c r="M10" s="2604"/>
      <c r="N10" s="2432"/>
      <c r="O10" s="2443"/>
      <c r="P10" s="2432"/>
      <c r="Q10" s="2432"/>
      <c r="R10" s="2432"/>
    </row>
    <row r="11" spans="1:30" ht="38.25">
      <c r="A11" s="2394" t="s">
        <v>2179</v>
      </c>
      <c r="B11" s="2395" t="s">
        <v>3385</v>
      </c>
      <c r="C11" s="2396" t="s">
        <v>3386</v>
      </c>
      <c r="D11" s="2397"/>
      <c r="E11" s="2364"/>
      <c r="F11" s="2364"/>
      <c r="G11" s="2364"/>
      <c r="H11" s="2364"/>
      <c r="I11" s="2364"/>
      <c r="J11" s="3052"/>
      <c r="K11" s="3051"/>
      <c r="L11" s="2604"/>
      <c r="M11" s="2604"/>
      <c r="N11" s="2432"/>
      <c r="O11" s="2443"/>
      <c r="P11" s="2432"/>
      <c r="Q11" s="2432"/>
      <c r="R11" s="2432"/>
    </row>
    <row r="12" spans="1:30">
      <c r="A12" s="2398" t="s">
        <v>2180</v>
      </c>
      <c r="B12" s="323" t="s">
        <v>2181</v>
      </c>
      <c r="C12" s="2399" t="s">
        <v>2182</v>
      </c>
      <c r="D12" s="2399" t="s">
        <v>2183</v>
      </c>
      <c r="E12" s="2399" t="s">
        <v>2184</v>
      </c>
      <c r="F12" s="2399" t="s">
        <v>2185</v>
      </c>
      <c r="G12" s="2399" t="s">
        <v>2186</v>
      </c>
      <c r="H12" s="2399" t="s">
        <v>2187</v>
      </c>
      <c r="I12" s="3050" t="s">
        <v>2569</v>
      </c>
      <c r="J12" s="3053"/>
      <c r="K12" s="2604"/>
      <c r="L12" s="2604"/>
      <c r="M12" s="2432"/>
      <c r="N12" s="2443"/>
      <c r="O12" s="2432"/>
      <c r="P12" s="2432"/>
      <c r="Q12" s="2432"/>
      <c r="AD12" s="1742"/>
    </row>
    <row r="13" spans="1:30">
      <c r="A13" s="3414" t="s">
        <v>3325</v>
      </c>
      <c r="B13" s="2400" t="s">
        <v>2188</v>
      </c>
      <c r="C13" s="854">
        <v>70658</v>
      </c>
      <c r="D13" s="854">
        <v>59700</v>
      </c>
      <c r="E13" s="854">
        <v>63353</v>
      </c>
      <c r="F13" s="854">
        <v>63353</v>
      </c>
      <c r="G13" s="854">
        <v>63353</v>
      </c>
      <c r="H13" s="854"/>
      <c r="I13" s="854">
        <v>63353</v>
      </c>
      <c r="J13" s="3053"/>
      <c r="K13" s="2604"/>
      <c r="L13" s="2604"/>
      <c r="M13" s="2432"/>
      <c r="N13" s="2443"/>
      <c r="O13" s="2432"/>
      <c r="P13" s="2432"/>
      <c r="Q13" s="2432"/>
      <c r="AD13" s="1742"/>
    </row>
    <row r="14" spans="1:30">
      <c r="A14" s="1079"/>
      <c r="B14" s="2400" t="s">
        <v>2189</v>
      </c>
      <c r="C14" s="2401">
        <v>70</v>
      </c>
      <c r="D14" s="2401">
        <v>40</v>
      </c>
      <c r="E14" s="2401">
        <v>50</v>
      </c>
      <c r="F14" s="2401">
        <v>50</v>
      </c>
      <c r="G14" s="2401">
        <v>50</v>
      </c>
      <c r="H14" s="2401"/>
      <c r="I14" s="2401">
        <v>50</v>
      </c>
      <c r="J14" s="3054"/>
      <c r="K14" s="2604"/>
      <c r="L14" s="2604"/>
      <c r="M14" s="2432"/>
      <c r="N14" s="2443"/>
      <c r="O14" s="2432"/>
      <c r="P14" s="2432"/>
      <c r="Q14" s="2432"/>
      <c r="AD14" s="1742"/>
    </row>
    <row r="15" spans="1:30">
      <c r="A15" s="320"/>
      <c r="B15" s="2402" t="s">
        <v>2190</v>
      </c>
      <c r="C15" s="2403">
        <f>IF(A13="出让",IF(C13="","",ROUNDDOWN(MIN((C13-$D$3)/365,C14),2)),C14)</f>
        <v>68.709999999999994</v>
      </c>
      <c r="D15" s="2403">
        <f>IF(A13="出让",IF(D13="","",ROUNDDOWN(MIN((D13-$D$3)/365,D14),2)),D14)</f>
        <v>38.69</v>
      </c>
      <c r="E15" s="2403">
        <f>IF(A13="出让",IF(E13="","",ROUNDDOWN(MIN((E13-$D$3)/365,E14),2)),E14)</f>
        <v>48.7</v>
      </c>
      <c r="F15" s="2403">
        <f>IF(A13="出让",IF(F13="","",ROUNDDOWN(MIN((F13-$D$3)/365,F14),2)),F14)</f>
        <v>48.7</v>
      </c>
      <c r="G15" s="2403">
        <f>IF(A13="出让",IF(G13="","",ROUNDDOWN(MIN((G13-$D$3)/365,G14),2)),G14)</f>
        <v>48.7</v>
      </c>
      <c r="H15" s="2403" t="str">
        <f>IF(A13="出让",IF(H13="","",ROUNDDOWN(MIN((H13-$D$3)/365,H14),2)),H14)</f>
        <v/>
      </c>
      <c r="I15" s="2403">
        <f>IF(A13="出让",IF(I13="","",ROUNDDOWN(MIN((I13-$D$3)/365,I14),2)),I14)</f>
        <v>48.7</v>
      </c>
      <c r="J15" s="3055"/>
      <c r="K15" s="2444"/>
      <c r="L15" s="2444"/>
      <c r="M15" s="2500"/>
      <c r="N15" s="2444"/>
      <c r="O15" s="2500"/>
      <c r="P15" s="2432"/>
      <c r="Q15" s="2432"/>
      <c r="AD15" s="1742"/>
    </row>
    <row r="16" spans="1:30">
      <c r="A16" s="2393" t="s">
        <v>2191</v>
      </c>
      <c r="B16" s="3532"/>
      <c r="C16" s="3533"/>
      <c r="D16" s="3534"/>
      <c r="E16" s="2406" t="s">
        <v>2192</v>
      </c>
      <c r="F16" s="3535"/>
      <c r="G16" s="3536"/>
      <c r="H16" s="3536"/>
      <c r="I16" s="3537"/>
      <c r="J16" s="2432"/>
      <c r="K16" s="2608"/>
      <c r="L16" s="2444"/>
      <c r="M16" s="2444"/>
      <c r="N16" s="2500"/>
      <c r="O16" s="2444"/>
      <c r="P16" s="2500"/>
      <c r="Q16" s="2432"/>
      <c r="R16" s="2432"/>
    </row>
    <row r="17" spans="1:28">
      <c r="A17" s="313" t="s">
        <v>2193</v>
      </c>
      <c r="B17" s="302" t="s">
        <v>2194</v>
      </c>
      <c r="C17" s="8">
        <f>'数据-汇总表'!E3</f>
        <v>105107.27999999982</v>
      </c>
      <c r="D17" s="2316" t="s">
        <v>2195</v>
      </c>
      <c r="E17" s="3538" t="s">
        <v>2196</v>
      </c>
      <c r="F17" s="3539"/>
      <c r="G17" s="3539"/>
      <c r="H17" s="3539"/>
      <c r="I17" s="3540"/>
      <c r="J17" s="2432"/>
      <c r="K17" s="2609"/>
      <c r="L17" s="2444"/>
      <c r="M17" s="2444"/>
      <c r="N17" s="2500"/>
      <c r="O17" s="2444"/>
      <c r="P17" s="2500"/>
      <c r="Q17" s="2432"/>
      <c r="R17" s="2432"/>
      <c r="S17" s="2432"/>
      <c r="T17" s="2432"/>
      <c r="U17" s="2432"/>
      <c r="V17" s="2432"/>
    </row>
    <row r="18" spans="1:28" ht="24.75" thickBot="1">
      <c r="A18" s="2407" t="s">
        <v>2197</v>
      </c>
      <c r="B18" s="1088" t="s">
        <v>2198</v>
      </c>
      <c r="C18" s="2408">
        <f>'数据-汇总表'!D3</f>
        <v>53915.27</v>
      </c>
      <c r="D18" s="1090" t="s">
        <v>2199</v>
      </c>
      <c r="E18" s="3541" t="s">
        <v>2200</v>
      </c>
      <c r="F18" s="3542"/>
      <c r="G18" s="3542"/>
      <c r="H18" s="3542"/>
      <c r="I18" s="3543"/>
      <c r="J18" s="2432"/>
      <c r="K18" s="2609"/>
      <c r="L18" s="2444"/>
      <c r="M18" s="2444"/>
      <c r="N18" s="2500"/>
      <c r="O18" s="2444"/>
      <c r="P18" s="2500"/>
      <c r="Q18" s="2432"/>
      <c r="R18" s="2432"/>
      <c r="S18" s="2432"/>
      <c r="T18" s="2432"/>
      <c r="U18" s="2432"/>
      <c r="V18" s="2432"/>
    </row>
    <row r="19" spans="1:28" ht="37.5" thickTop="1" thickBot="1">
      <c r="A19" s="327" t="s">
        <v>1055</v>
      </c>
      <c r="B19" s="307" t="s">
        <v>2201</v>
      </c>
      <c r="C19" s="1560"/>
      <c r="D19" s="1561" t="s">
        <v>2202</v>
      </c>
      <c r="E19" s="1562"/>
      <c r="F19" s="1563" t="str">
        <f>IF(AND(C19="是",E19="否"),"是否提供他项权证或相关说明","")</f>
        <v/>
      </c>
      <c r="G19" s="1564"/>
      <c r="H19" s="2655"/>
      <c r="I19" s="2655"/>
      <c r="J19" s="2432"/>
      <c r="K19" s="2607"/>
      <c r="L19" s="2604"/>
      <c r="M19" s="2604"/>
      <c r="N19" s="2500"/>
      <c r="O19" s="2444"/>
      <c r="P19" s="2500"/>
      <c r="Q19" s="2432"/>
      <c r="R19" s="2432"/>
      <c r="S19" s="2432"/>
      <c r="T19" s="2432"/>
      <c r="U19" s="2432"/>
      <c r="V19" s="2432"/>
    </row>
    <row r="20" spans="1:28">
      <c r="A20" s="2623" t="s">
        <v>2203</v>
      </c>
      <c r="B20" s="3528" t="s">
        <v>2204</v>
      </c>
      <c r="C20" s="3529"/>
      <c r="D20" s="3530" t="s">
        <v>2205</v>
      </c>
      <c r="E20" s="3531"/>
      <c r="F20" s="2638" t="s">
        <v>1056</v>
      </c>
      <c r="G20" s="2655"/>
      <c r="H20" s="2655"/>
      <c r="I20" s="2655"/>
      <c r="J20" s="2432"/>
      <c r="K20" s="3527" t="s">
        <v>2206</v>
      </c>
      <c r="L20" s="682"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3"/>
      <c r="N20" s="2405"/>
      <c r="O20" s="2404"/>
      <c r="P20" s="2405"/>
      <c r="Q20" s="2364"/>
      <c r="R20" s="2364"/>
      <c r="S20" s="2364"/>
      <c r="T20" s="2364"/>
      <c r="U20" s="2364"/>
      <c r="V20" s="2364"/>
      <c r="W20" s="1742"/>
      <c r="X20" s="1742"/>
      <c r="Y20" s="1742"/>
      <c r="Z20" s="1742"/>
      <c r="AA20" s="1742"/>
      <c r="AB20" s="1742"/>
    </row>
    <row r="21" spans="1:28" ht="26.25" thickBot="1">
      <c r="A21" s="2623"/>
      <c r="B21" s="2624" t="s">
        <v>3387</v>
      </c>
      <c r="C21" s="2625" t="s">
        <v>3388</v>
      </c>
      <c r="D21" s="1565"/>
      <c r="E21" s="2626"/>
      <c r="F21" s="2639"/>
      <c r="G21" s="2655"/>
      <c r="H21" s="2655"/>
      <c r="I21" s="2655"/>
      <c r="J21" s="2432"/>
      <c r="K21" s="3527"/>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5"/>
      <c r="O21" s="2404"/>
      <c r="P21" s="2405"/>
      <c r="Q21" s="2364"/>
      <c r="R21" s="2364"/>
      <c r="S21" s="2364"/>
      <c r="T21" s="2364"/>
      <c r="U21" s="2364"/>
      <c r="V21" s="2364"/>
      <c r="W21" s="1742"/>
      <c r="X21" s="1742"/>
      <c r="Y21" s="1742"/>
      <c r="Z21" s="1742"/>
      <c r="AA21" s="1742"/>
      <c r="AB21" s="1742"/>
    </row>
    <row r="22" spans="1:28" ht="13.5" thickBot="1">
      <c r="A22" s="2623"/>
      <c r="B22" s="2627"/>
      <c r="C22" s="2625"/>
      <c r="D22" s="2654"/>
      <c r="E22" s="2654"/>
      <c r="F22" s="2654"/>
      <c r="G22" s="2655"/>
      <c r="H22" s="2655"/>
      <c r="I22" s="2655"/>
      <c r="J22" s="2432"/>
      <c r="K22" s="3527"/>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5"/>
      <c r="O22" s="2404"/>
      <c r="P22" s="2405"/>
      <c r="Q22" s="2364"/>
      <c r="R22" s="2364"/>
      <c r="S22" s="2364"/>
      <c r="T22" s="2364"/>
      <c r="U22" s="2364"/>
      <c r="V22" s="2364"/>
      <c r="W22" s="1742"/>
      <c r="X22" s="1742"/>
      <c r="Y22" s="1742"/>
      <c r="Z22" s="1742"/>
      <c r="AA22" s="1742"/>
      <c r="AB22" s="1742"/>
    </row>
    <row r="23" spans="1:28">
      <c r="A23" s="2628" t="s">
        <v>2207</v>
      </c>
      <c r="B23" s="2493" t="s">
        <v>2208</v>
      </c>
      <c r="C23" s="2629"/>
      <c r="D23" s="2630" t="s">
        <v>2208</v>
      </c>
      <c r="E23" s="2631"/>
      <c r="F23" s="2654"/>
      <c r="G23" s="2655"/>
      <c r="H23" s="2655"/>
      <c r="I23" s="2655"/>
      <c r="J23" s="2432"/>
      <c r="K23" s="2610"/>
      <c r="L23" s="2466"/>
      <c r="M23" s="2604"/>
      <c r="N23" s="2500"/>
      <c r="O23" s="2444"/>
      <c r="P23" s="2500"/>
      <c r="Q23" s="2432"/>
      <c r="R23" s="2432"/>
      <c r="S23" s="2432"/>
      <c r="T23" s="2432"/>
      <c r="U23" s="2432"/>
      <c r="V23" s="2432"/>
    </row>
    <row r="24" spans="1:28">
      <c r="A24" s="2628"/>
      <c r="B24" s="2493" t="s">
        <v>1057</v>
      </c>
      <c r="C24" s="2632"/>
      <c r="D24" s="2628" t="s">
        <v>1057</v>
      </c>
      <c r="E24" s="2633"/>
      <c r="F24" s="2654"/>
      <c r="G24" s="2655"/>
      <c r="H24" s="2655"/>
      <c r="I24" s="2655"/>
      <c r="J24" s="2432"/>
      <c r="K24" s="2610"/>
      <c r="L24" s="2466"/>
      <c r="M24" s="2604"/>
      <c r="N24" s="2500"/>
      <c r="O24" s="2444"/>
      <c r="P24" s="2500"/>
      <c r="Q24" s="2432"/>
      <c r="R24" s="2432"/>
      <c r="S24" s="2432"/>
      <c r="T24" s="2432"/>
      <c r="U24" s="2432"/>
      <c r="V24" s="2432"/>
    </row>
    <row r="25" spans="1:28">
      <c r="A25" s="2628"/>
      <c r="B25" s="2493" t="s">
        <v>1058</v>
      </c>
      <c r="C25" s="2632"/>
      <c r="D25" s="2628" t="s">
        <v>1058</v>
      </c>
      <c r="E25" s="2633"/>
      <c r="F25" s="2654"/>
      <c r="G25" s="2655"/>
      <c r="H25" s="2655"/>
      <c r="I25" s="2655"/>
      <c r="J25" s="2432"/>
      <c r="K25" s="2607"/>
      <c r="L25" s="2604"/>
      <c r="M25" s="2604"/>
      <c r="N25" s="2500"/>
      <c r="O25" s="2444"/>
      <c r="P25" s="2500"/>
      <c r="Q25" s="2432"/>
      <c r="R25" s="2432"/>
      <c r="S25" s="2432"/>
      <c r="T25" s="2432"/>
      <c r="U25" s="2432"/>
      <c r="V25" s="2432"/>
    </row>
    <row r="26" spans="1:28" ht="13.5" thickBot="1">
      <c r="A26" s="2634"/>
      <c r="B26" s="2635" t="s">
        <v>1059</v>
      </c>
      <c r="C26" s="2636"/>
      <c r="D26" s="2634" t="s">
        <v>1059</v>
      </c>
      <c r="E26" s="2637"/>
      <c r="F26" s="2656"/>
      <c r="G26" s="2656"/>
      <c r="H26" s="2656"/>
      <c r="I26" s="2656"/>
      <c r="J26" s="2432"/>
      <c r="K26" s="2607"/>
      <c r="L26" s="2604"/>
      <c r="M26" s="2604"/>
      <c r="N26" s="2500"/>
      <c r="O26" s="2444"/>
      <c r="P26" s="2500"/>
      <c r="Q26" s="2432"/>
      <c r="R26" s="2432"/>
      <c r="S26" s="2432"/>
      <c r="T26" s="2432"/>
      <c r="U26" s="2432"/>
      <c r="V26" s="2432"/>
    </row>
    <row r="27" spans="1:28" ht="13.5" thickTop="1">
      <c r="A27" s="3515" t="s">
        <v>2209</v>
      </c>
      <c r="B27" s="320" t="s">
        <v>2210</v>
      </c>
      <c r="C27" s="2409" t="s">
        <v>3389</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15"/>
      <c r="B28" s="302" t="s">
        <v>2211</v>
      </c>
      <c r="C28" s="2411" t="s">
        <v>3390</v>
      </c>
      <c r="D28" s="2412"/>
      <c r="E28" s="2655"/>
      <c r="F28" s="2655"/>
      <c r="G28" s="2655"/>
      <c r="H28" s="2655"/>
      <c r="I28" s="2655"/>
      <c r="J28" s="2432"/>
      <c r="K28" s="2607"/>
      <c r="L28" s="2604"/>
      <c r="M28" s="2604"/>
      <c r="N28" s="2432"/>
      <c r="O28" s="2443"/>
      <c r="P28" s="2432"/>
      <c r="Q28" s="2432"/>
      <c r="R28" s="2432"/>
      <c r="S28" s="2432"/>
      <c r="T28" s="2432"/>
      <c r="U28" s="2432"/>
      <c r="V28" s="2432"/>
    </row>
    <row r="29" spans="1:28">
      <c r="A29" s="3515"/>
      <c r="B29" s="302" t="s">
        <v>2212</v>
      </c>
      <c r="C29" s="2413" t="s">
        <v>3391</v>
      </c>
      <c r="D29" s="2414"/>
      <c r="E29" s="2655"/>
      <c r="F29" s="2655"/>
      <c r="G29" s="2655"/>
      <c r="H29" s="2655"/>
      <c r="I29" s="2655"/>
      <c r="J29" s="2432"/>
      <c r="K29" s="2607"/>
      <c r="L29" s="2604"/>
      <c r="M29" s="2604"/>
      <c r="N29" s="2432"/>
      <c r="O29" s="2443"/>
      <c r="P29" s="2432"/>
      <c r="Q29" s="2432"/>
      <c r="R29" s="2432"/>
      <c r="S29" s="2432"/>
      <c r="T29" s="2432"/>
      <c r="U29" s="2432"/>
      <c r="V29" s="2432"/>
    </row>
    <row r="30" spans="1:28">
      <c r="A30" s="3516"/>
      <c r="B30" s="302" t="s">
        <v>2213</v>
      </c>
      <c r="C30" s="3517"/>
      <c r="D30" s="3518"/>
      <c r="E30" s="2655"/>
      <c r="F30" s="2655"/>
      <c r="G30" s="2655"/>
      <c r="H30" s="2655"/>
      <c r="I30" s="2655"/>
      <c r="J30" s="2432"/>
      <c r="K30" s="2607"/>
      <c r="L30" s="2604"/>
      <c r="M30" s="2604"/>
      <c r="N30" s="2432"/>
      <c r="O30" s="2443"/>
      <c r="P30" s="2432"/>
      <c r="Q30" s="2432"/>
      <c r="R30" s="2432"/>
      <c r="S30" s="2432"/>
      <c r="T30" s="2432"/>
      <c r="U30" s="2432"/>
      <c r="V30" s="2432"/>
    </row>
    <row r="31" spans="1:28">
      <c r="A31" s="3519" t="s">
        <v>2214</v>
      </c>
      <c r="B31" s="2415" t="s">
        <v>3392</v>
      </c>
      <c r="C31" s="2317" t="str">
        <f>IF(B31="现房","成新及维护状况正常否",IF(B31="在建","工程状态是否正常",IF(B31="土地","是否闲置","-")))</f>
        <v>工程状态是否正常</v>
      </c>
      <c r="D31" s="1370"/>
      <c r="E31" s="2416"/>
      <c r="F31" s="2655"/>
      <c r="G31" s="2655"/>
      <c r="H31" s="2655"/>
      <c r="I31" s="2655"/>
      <c r="J31" s="2432"/>
      <c r="K31" s="2606"/>
      <c r="L31" s="2604"/>
      <c r="M31" s="2604"/>
      <c r="N31" s="2432"/>
      <c r="O31" s="2443"/>
      <c r="P31" s="2432"/>
      <c r="Q31" s="2432"/>
      <c r="R31" s="2432"/>
      <c r="S31" s="2432"/>
      <c r="T31" s="2432"/>
      <c r="U31" s="2432"/>
      <c r="V31" s="2432"/>
    </row>
    <row r="32" spans="1:28">
      <c r="A32" s="3520"/>
      <c r="B32" s="2415"/>
      <c r="C32" s="2317" t="str">
        <f>IF(B32="现房","成新及维护状况是否正常",IF(B32="在建","工程状态是否正常",IF(B32="土地","是否闲置","-")))</f>
        <v>-</v>
      </c>
      <c r="D32" s="1370"/>
      <c r="E32" s="2416"/>
      <c r="F32" s="2655"/>
      <c r="G32" s="2655"/>
      <c r="H32" s="2655"/>
      <c r="I32" s="2655"/>
      <c r="J32" s="2432"/>
      <c r="K32" s="2607"/>
      <c r="L32" s="2604"/>
      <c r="M32" s="2604"/>
      <c r="N32" s="2432"/>
      <c r="O32" s="2443"/>
      <c r="P32" s="2432"/>
      <c r="Q32" s="2432"/>
      <c r="R32" s="2432"/>
      <c r="S32" s="2432"/>
      <c r="T32" s="2432"/>
      <c r="U32" s="2432"/>
      <c r="V32" s="2432"/>
    </row>
    <row r="33" spans="1:30">
      <c r="A33" s="3520"/>
      <c r="B33" s="2418"/>
      <c r="C33" s="1587" t="str">
        <f>IF(B33="现房","成新及维护状况是否正常",IF(B33="在建","工程状态是否正常",IF(B33="土地","是否闲置","-")))</f>
        <v>-</v>
      </c>
      <c r="D33" s="1362"/>
      <c r="E33" s="2419"/>
      <c r="F33" s="2655"/>
      <c r="G33" s="2655"/>
      <c r="H33" s="2655"/>
      <c r="I33" s="2655"/>
      <c r="J33" s="2432"/>
      <c r="K33" s="2607"/>
      <c r="L33" s="2604"/>
      <c r="M33" s="2604"/>
      <c r="N33" s="2432"/>
      <c r="O33" s="2443"/>
      <c r="P33" s="2432"/>
      <c r="Q33" s="2432"/>
      <c r="R33" s="2432"/>
      <c r="S33" s="2432"/>
      <c r="T33" s="2432"/>
      <c r="U33" s="2432"/>
      <c r="V33" s="2432"/>
    </row>
    <row r="34" spans="1:30">
      <c r="A34" s="302" t="s">
        <v>2215</v>
      </c>
      <c r="B34" s="2020" t="s">
        <v>3393</v>
      </c>
      <c r="C34" s="2020" t="s">
        <v>3394</v>
      </c>
      <c r="D34" s="2020" t="s">
        <v>3395</v>
      </c>
      <c r="E34" s="2020" t="s">
        <v>3396</v>
      </c>
      <c r="F34" s="2020" t="s">
        <v>3397</v>
      </c>
      <c r="G34" s="2020" t="s">
        <v>3398</v>
      </c>
      <c r="H34" s="2020" t="s">
        <v>3399</v>
      </c>
      <c r="I34" s="2655"/>
      <c r="J34" s="2432"/>
      <c r="K34" s="2420">
        <f>COUNTIF(B34:H34,"——")</f>
        <v>0</v>
      </c>
      <c r="L34" s="323" t="s">
        <v>2216</v>
      </c>
      <c r="M34" s="323" t="s">
        <v>2217</v>
      </c>
      <c r="N34" s="323" t="s">
        <v>2218</v>
      </c>
      <c r="O34" s="323" t="s">
        <v>2219</v>
      </c>
      <c r="P34" s="323" t="s">
        <v>2220</v>
      </c>
      <c r="Q34" s="323" t="s">
        <v>2221</v>
      </c>
      <c r="R34" s="323" t="s">
        <v>2222</v>
      </c>
      <c r="S34" s="3514" t="s">
        <v>2223</v>
      </c>
      <c r="T34" s="2421" t="str">
        <f>NUMBERSTRING(7-K34,1)&amp;"通"</f>
        <v>七通</v>
      </c>
      <c r="U34" s="2432"/>
      <c r="V34" s="2432"/>
    </row>
    <row r="35" spans="1:30">
      <c r="A35" s="2422"/>
      <c r="B35" s="3521" t="s">
        <v>2224</v>
      </c>
      <c r="C35" s="3521"/>
      <c r="D35" s="3521"/>
      <c r="E35" s="3521"/>
      <c r="F35" s="662">
        <f>C10</f>
        <v>0</v>
      </c>
      <c r="G35" s="2655"/>
      <c r="H35" s="2655"/>
      <c r="I35" s="2655"/>
      <c r="J35" s="2432"/>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通路、通电、通讯、通上水、通下水、通热</v>
      </c>
      <c r="R35" s="329" t="str">
        <f>B34&amp;"、"&amp;C34&amp;"、"&amp;D34&amp;"、"&amp;E34&amp;"、"&amp;F34&amp;"、"&amp;G34&amp;"、"&amp;H34</f>
        <v>通路、通电、通讯、通上水、通下水、通热、燃气</v>
      </c>
      <c r="S35" s="3514"/>
      <c r="T35" s="329" t="str">
        <f>IF(T34="一通",L35,IF(T34="二通",M35,IF(T34="三通",N35,IF(T34="四通",O35,IF(T34="五通",P35,IF(T34="六通",Q35,R35))))))</f>
        <v>通路、通电、通讯、通上水、通下水、通热、燃气</v>
      </c>
      <c r="U35" s="2432"/>
      <c r="V35" s="2432"/>
    </row>
    <row r="36" spans="1:30">
      <c r="A36" s="2423"/>
      <c r="B36" s="662" t="s">
        <v>2183</v>
      </c>
      <c r="C36" s="662" t="s">
        <v>2184</v>
      </c>
      <c r="D36" s="662" t="s">
        <v>2182</v>
      </c>
      <c r="E36" s="662" t="s">
        <v>2187</v>
      </c>
      <c r="F36" s="3056" t="s">
        <v>2572</v>
      </c>
      <c r="G36" s="2655"/>
      <c r="H36" s="2655"/>
      <c r="I36" s="2655"/>
      <c r="J36" s="2432"/>
      <c r="K36" s="2607"/>
      <c r="L36" s="2604"/>
      <c r="M36" s="2604"/>
      <c r="N36" s="2432"/>
      <c r="O36" s="2443"/>
      <c r="P36" s="2432"/>
      <c r="Q36" s="2432"/>
      <c r="R36" s="2432"/>
      <c r="S36" s="2432"/>
      <c r="T36" s="2432"/>
      <c r="U36" s="2432"/>
      <c r="V36" s="2432"/>
    </row>
    <row r="37" spans="1:30">
      <c r="A37" s="2621" t="s">
        <v>2225</v>
      </c>
      <c r="B37" s="2424" t="s">
        <v>29</v>
      </c>
      <c r="C37" s="2424" t="s">
        <v>29</v>
      </c>
      <c r="D37" s="2424" t="s">
        <v>29</v>
      </c>
      <c r="E37" s="2424" t="s">
        <v>29</v>
      </c>
      <c r="F37" s="2424" t="s">
        <v>29</v>
      </c>
      <c r="G37" s="2655"/>
      <c r="H37" s="2655"/>
      <c r="I37" s="2655"/>
      <c r="J37" s="2432"/>
      <c r="K37" s="2607"/>
      <c r="L37" s="2604"/>
      <c r="M37" s="2604"/>
      <c r="N37" s="2432"/>
      <c r="O37" s="2443"/>
      <c r="P37" s="2432"/>
      <c r="Q37" s="2432"/>
      <c r="R37" s="2432"/>
      <c r="S37" s="2432"/>
      <c r="T37" s="2432"/>
      <c r="U37" s="2432"/>
      <c r="V37" s="2432"/>
    </row>
    <row r="38" spans="1:30" ht="13.5" thickBot="1">
      <c r="A38" s="2622" t="s">
        <v>2226</v>
      </c>
      <c r="B38" s="2425" t="s">
        <v>166</v>
      </c>
      <c r="C38" s="2425" t="s">
        <v>166</v>
      </c>
      <c r="D38" s="2425" t="s">
        <v>166</v>
      </c>
      <c r="E38" s="2425" t="s">
        <v>166</v>
      </c>
      <c r="F38" s="2425" t="s">
        <v>166</v>
      </c>
      <c r="G38" s="2656"/>
      <c r="H38" s="2656"/>
      <c r="I38" s="2656"/>
      <c r="J38" s="2432"/>
      <c r="K38" s="2607"/>
      <c r="L38" s="2604"/>
      <c r="M38" s="2604"/>
      <c r="N38" s="2432"/>
      <c r="O38" s="2443"/>
      <c r="P38" s="2432"/>
      <c r="Q38" s="2432"/>
      <c r="R38" s="2432"/>
      <c r="S38" s="2432"/>
      <c r="T38" s="2432"/>
      <c r="U38" s="2432"/>
      <c r="V38" s="2432"/>
    </row>
    <row r="39" spans="1:30" s="2428" customFormat="1" ht="14.25" thickTop="1" thickBot="1">
      <c r="A39" s="2426" t="s">
        <v>2227</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4"/>
      <c r="B40" s="2364"/>
      <c r="C40" s="2364"/>
      <c r="D40" s="2364"/>
      <c r="E40" s="2364"/>
      <c r="F40" s="2364"/>
      <c r="G40" s="2364"/>
      <c r="H40" s="2364"/>
      <c r="I40" s="1575"/>
      <c r="J40" s="2500"/>
      <c r="K40" s="2606"/>
      <c r="L40" s="2444"/>
      <c r="M40" s="2444"/>
      <c r="N40" s="2500"/>
      <c r="O40" s="2444"/>
      <c r="P40" s="2432"/>
      <c r="Q40" s="2432"/>
      <c r="R40" s="2432"/>
      <c r="S40" s="2432"/>
      <c r="T40" s="2432"/>
      <c r="U40" s="2432"/>
      <c r="V40" s="2432"/>
    </row>
    <row r="41" spans="1:30">
      <c r="A41" s="2429" t="s">
        <v>2228</v>
      </c>
      <c r="B41" s="1754"/>
      <c r="C41" s="1370"/>
      <c r="D41" s="2364"/>
      <c r="E41" s="2364"/>
      <c r="F41" s="2364"/>
      <c r="G41" s="2364"/>
      <c r="H41" s="2364"/>
      <c r="I41" s="1573"/>
      <c r="J41" s="2432"/>
      <c r="K41" s="2607"/>
      <c r="L41" s="2604"/>
      <c r="M41" s="2604"/>
      <c r="N41" s="2432"/>
      <c r="O41" s="2443"/>
      <c r="P41" s="2432"/>
      <c r="Q41" s="2432"/>
      <c r="R41" s="2432"/>
      <c r="S41" s="2432"/>
      <c r="T41" s="2432"/>
      <c r="U41" s="2432"/>
      <c r="V41" s="2432"/>
    </row>
    <row r="42" spans="1:30" ht="25.5">
      <c r="A42" s="323" t="s">
        <v>2229</v>
      </c>
      <c r="B42" s="8" t="s">
        <v>2230</v>
      </c>
      <c r="C42" s="8" t="s">
        <v>2231</v>
      </c>
      <c r="D42" s="8" t="s">
        <v>2232</v>
      </c>
      <c r="E42" s="8" t="s">
        <v>2233</v>
      </c>
      <c r="F42" s="8" t="s">
        <v>2234</v>
      </c>
      <c r="G42" s="8" t="s">
        <v>2235</v>
      </c>
      <c r="H42" s="8" t="s">
        <v>2236</v>
      </c>
      <c r="I42" s="8" t="s">
        <v>2237</v>
      </c>
      <c r="J42" s="2617" t="s">
        <v>2238</v>
      </c>
      <c r="K42" s="2618" t="s">
        <v>2239</v>
      </c>
      <c r="L42" s="2618" t="s">
        <v>2240</v>
      </c>
      <c r="M42" s="2618" t="s">
        <v>2241</v>
      </c>
      <c r="N42" s="2611" t="s">
        <v>2242</v>
      </c>
      <c r="O42" s="2611" t="s">
        <v>2243</v>
      </c>
      <c r="P42" s="2611" t="s">
        <v>2244</v>
      </c>
      <c r="Q42" s="2612" t="s">
        <v>2245</v>
      </c>
      <c r="R42" s="2612" t="s">
        <v>2246</v>
      </c>
      <c r="S42" s="2432"/>
      <c r="T42" s="2432"/>
      <c r="U42" s="2432"/>
      <c r="V42" s="2432"/>
    </row>
    <row r="43" spans="1:30" s="1740" customFormat="1">
      <c r="A43" s="1567"/>
      <c r="B43" s="1049"/>
      <c r="C43" s="1049"/>
      <c r="D43" s="1049"/>
      <c r="E43" s="1049"/>
      <c r="F43" s="1049"/>
      <c r="G43" s="1049"/>
      <c r="H43" s="1049"/>
      <c r="I43" s="1049"/>
      <c r="J43" s="2430"/>
      <c r="K43" s="2431"/>
      <c r="L43" s="2431"/>
      <c r="M43" s="1049"/>
      <c r="N43" s="1049"/>
      <c r="O43" s="1049"/>
      <c r="P43" s="1049"/>
      <c r="Q43" s="1049"/>
      <c r="R43" s="1049"/>
      <c r="S43" s="2432"/>
      <c r="T43" s="2432"/>
      <c r="U43" s="2432"/>
      <c r="V43" s="2432"/>
    </row>
    <row r="44" spans="1:30" s="1740" customFormat="1">
      <c r="A44" s="1567"/>
      <c r="B44" s="1567"/>
      <c r="C44" s="1049"/>
      <c r="D44" s="1049"/>
      <c r="E44" s="1049"/>
      <c r="F44" s="1049"/>
      <c r="G44" s="1049"/>
      <c r="H44" s="1049"/>
      <c r="I44" s="1049"/>
      <c r="J44" s="2430"/>
      <c r="K44" s="2431"/>
      <c r="L44" s="2431"/>
      <c r="M44" s="1049"/>
      <c r="N44" s="1049"/>
      <c r="O44" s="1049"/>
      <c r="P44" s="1049"/>
      <c r="Q44" s="1049"/>
      <c r="R44" s="1049"/>
      <c r="S44" s="2432"/>
      <c r="T44" s="2432"/>
      <c r="U44" s="2432"/>
      <c r="V44" s="2432"/>
    </row>
    <row r="45" spans="1:30" s="1740" customFormat="1">
      <c r="A45" s="1567"/>
      <c r="B45" s="1567"/>
      <c r="C45" s="1049"/>
      <c r="D45" s="1049"/>
      <c r="E45" s="1049"/>
      <c r="F45" s="1049"/>
      <c r="G45" s="1049"/>
      <c r="H45" s="1049"/>
      <c r="I45" s="1049"/>
      <c r="J45" s="2430"/>
      <c r="K45" s="2431"/>
      <c r="L45" s="2431"/>
      <c r="M45" s="1049"/>
      <c r="N45" s="1049"/>
      <c r="O45" s="1049"/>
      <c r="P45" s="1049"/>
      <c r="Q45" s="1049"/>
      <c r="R45" s="1049"/>
      <c r="S45" s="2432"/>
      <c r="T45" s="2432"/>
      <c r="U45" s="2432"/>
      <c r="V45" s="2432"/>
    </row>
    <row r="46" spans="1:30" s="1740" customFormat="1">
      <c r="A46" s="1567"/>
      <c r="B46" s="1567"/>
      <c r="C46" s="1049"/>
      <c r="D46" s="1049"/>
      <c r="E46" s="1049"/>
      <c r="F46" s="1049"/>
      <c r="G46" s="1049"/>
      <c r="H46" s="1049"/>
      <c r="I46" s="1049"/>
      <c r="J46" s="2430"/>
      <c r="K46" s="2431"/>
      <c r="L46" s="2431"/>
      <c r="M46" s="1049"/>
      <c r="N46" s="1049"/>
      <c r="O46" s="1049"/>
      <c r="P46" s="1049"/>
      <c r="Q46" s="1049"/>
      <c r="R46" s="1049"/>
      <c r="S46" s="2432"/>
      <c r="T46" s="2432"/>
      <c r="U46" s="2432"/>
      <c r="V46" s="2432"/>
    </row>
    <row r="47" spans="1:30" s="1740" customFormat="1">
      <c r="A47" s="1567"/>
      <c r="B47" s="1567"/>
      <c r="C47" s="1049"/>
      <c r="D47" s="1049"/>
      <c r="E47" s="1049"/>
      <c r="F47" s="1049"/>
      <c r="G47" s="1049"/>
      <c r="H47" s="1049"/>
      <c r="I47" s="1049"/>
      <c r="J47" s="2430"/>
      <c r="K47" s="2431"/>
      <c r="L47" s="2431"/>
      <c r="M47" s="1049"/>
      <c r="N47" s="1049"/>
      <c r="O47" s="1049"/>
      <c r="P47" s="1049"/>
      <c r="Q47" s="1049"/>
      <c r="R47" s="1049"/>
      <c r="S47" s="2432"/>
      <c r="T47" s="2432"/>
      <c r="U47" s="2432"/>
      <c r="V47" s="2432"/>
    </row>
    <row r="48" spans="1:30" s="1740" customFormat="1">
      <c r="A48" s="1567"/>
      <c r="B48" s="1567"/>
      <c r="C48" s="1049"/>
      <c r="D48" s="1049"/>
      <c r="E48" s="1049"/>
      <c r="F48" s="1049"/>
      <c r="G48" s="1049"/>
      <c r="H48" s="1049"/>
      <c r="I48" s="1049"/>
      <c r="J48" s="2430"/>
      <c r="K48" s="2431"/>
      <c r="L48" s="2431"/>
      <c r="M48" s="1049"/>
      <c r="N48" s="1049"/>
      <c r="O48" s="1049"/>
      <c r="P48" s="1049"/>
      <c r="Q48" s="1049"/>
      <c r="R48" s="1049"/>
      <c r="S48" s="2432"/>
      <c r="T48" s="2432"/>
      <c r="U48" s="2432"/>
      <c r="V48" s="2432"/>
    </row>
    <row r="49" spans="1:22" s="1740" customFormat="1">
      <c r="A49" s="1567"/>
      <c r="B49" s="1567"/>
      <c r="C49" s="1049"/>
      <c r="D49" s="1049"/>
      <c r="E49" s="1049"/>
      <c r="F49" s="1049"/>
      <c r="G49" s="1049"/>
      <c r="H49" s="1049"/>
      <c r="I49" s="1049"/>
      <c r="J49" s="2430"/>
      <c r="K49" s="2431"/>
      <c r="L49" s="2431"/>
      <c r="M49" s="1049"/>
      <c r="N49" s="1049"/>
      <c r="O49" s="1049"/>
      <c r="P49" s="1049"/>
      <c r="Q49" s="1049"/>
      <c r="R49" s="1049"/>
      <c r="S49" s="2432"/>
      <c r="T49" s="2432"/>
      <c r="U49" s="2432"/>
      <c r="V49" s="2432"/>
    </row>
    <row r="50" spans="1:22" s="1740" customFormat="1">
      <c r="A50" s="1567"/>
      <c r="B50" s="1567"/>
      <c r="C50" s="1049"/>
      <c r="D50" s="1049"/>
      <c r="E50" s="1049"/>
      <c r="F50" s="1049"/>
      <c r="G50" s="1049"/>
      <c r="H50" s="1049"/>
      <c r="I50" s="1049"/>
      <c r="J50" s="2430"/>
      <c r="K50" s="2431"/>
      <c r="L50" s="2431"/>
      <c r="M50" s="1049"/>
      <c r="N50" s="1049"/>
      <c r="O50" s="1049"/>
      <c r="P50" s="1049"/>
      <c r="Q50" s="1049"/>
      <c r="R50" s="1049"/>
      <c r="S50" s="2432"/>
      <c r="T50" s="2432"/>
      <c r="U50" s="2432"/>
      <c r="V50" s="2432"/>
    </row>
    <row r="51" spans="1:22" s="1740" customFormat="1">
      <c r="A51" s="1567"/>
      <c r="B51" s="1567"/>
      <c r="C51" s="1049"/>
      <c r="D51" s="1049"/>
      <c r="E51" s="1049"/>
      <c r="F51" s="1049"/>
      <c r="G51" s="1049"/>
      <c r="H51" s="1049"/>
      <c r="I51" s="1049"/>
      <c r="J51" s="2430"/>
      <c r="K51" s="2431"/>
      <c r="L51" s="2431"/>
      <c r="M51" s="1049"/>
      <c r="N51" s="1049"/>
      <c r="O51" s="1049"/>
      <c r="P51" s="1049"/>
      <c r="Q51" s="1049"/>
      <c r="R51" s="1049"/>
    </row>
    <row r="52" spans="1:22" s="1740" customFormat="1">
      <c r="A52" s="1567"/>
      <c r="B52" s="1567"/>
      <c r="C52" s="1567"/>
      <c r="D52" s="1567"/>
      <c r="E52" s="1567"/>
      <c r="F52" s="1049"/>
      <c r="G52" s="1567"/>
      <c r="H52" s="1567"/>
      <c r="I52" s="1567"/>
      <c r="J52" s="2433"/>
      <c r="K52" s="2431"/>
      <c r="L52" s="2431"/>
      <c r="M52" s="2431"/>
      <c r="N52" s="1567"/>
      <c r="O52" s="1567"/>
      <c r="P52" s="1567"/>
      <c r="Q52" s="1567"/>
      <c r="R52" s="1567"/>
    </row>
    <row r="53" spans="1:22" s="1740" customFormat="1">
      <c r="A53" s="1567"/>
      <c r="B53" s="1567"/>
      <c r="C53" s="1567"/>
      <c r="D53" s="1567"/>
      <c r="E53" s="1567"/>
      <c r="F53" s="1049"/>
      <c r="G53" s="1567"/>
      <c r="H53" s="1567"/>
      <c r="I53" s="1567"/>
      <c r="J53" s="2433"/>
      <c r="K53" s="2431"/>
      <c r="L53" s="2431"/>
      <c r="M53" s="2431"/>
      <c r="N53" s="1567"/>
      <c r="O53" s="1567"/>
      <c r="P53" s="1567"/>
      <c r="Q53" s="1567"/>
      <c r="R53" s="1567"/>
    </row>
    <row r="54" spans="1:22" s="1740" customFormat="1">
      <c r="A54" s="1567"/>
      <c r="B54" s="1567"/>
      <c r="C54" s="1567"/>
      <c r="D54" s="1567"/>
      <c r="E54" s="1567"/>
      <c r="F54" s="1049"/>
      <c r="G54" s="1567"/>
      <c r="H54" s="1567"/>
      <c r="I54" s="1567"/>
      <c r="J54" s="2433"/>
      <c r="K54" s="2431"/>
      <c r="L54" s="2431"/>
      <c r="M54" s="2431"/>
      <c r="N54" s="1567"/>
      <c r="O54" s="1567"/>
      <c r="P54" s="1567"/>
      <c r="Q54" s="1567"/>
      <c r="R54" s="1567"/>
    </row>
    <row r="55" spans="1:22" s="1740" customFormat="1">
      <c r="A55" s="1567"/>
      <c r="B55" s="1567"/>
      <c r="C55" s="1567"/>
      <c r="D55" s="1567"/>
      <c r="E55" s="1567"/>
      <c r="F55" s="1049"/>
      <c r="G55" s="1567"/>
      <c r="H55" s="1567"/>
      <c r="I55" s="1567"/>
      <c r="J55" s="2433"/>
      <c r="K55" s="2431"/>
      <c r="L55" s="2431"/>
      <c r="M55" s="2431"/>
      <c r="N55" s="1567"/>
      <c r="O55" s="1567"/>
      <c r="P55" s="1567"/>
      <c r="Q55" s="1567"/>
      <c r="R55" s="1567"/>
    </row>
    <row r="56" spans="1:22" s="1740" customFormat="1">
      <c r="A56" s="1567"/>
      <c r="B56" s="1567"/>
      <c r="C56" s="1567"/>
      <c r="D56" s="1567"/>
      <c r="E56" s="1567"/>
      <c r="F56" s="1049"/>
      <c r="G56" s="1567"/>
      <c r="H56" s="1567"/>
      <c r="I56" s="1567"/>
      <c r="J56" s="2433"/>
      <c r="K56" s="2431"/>
      <c r="L56" s="2431"/>
      <c r="M56" s="2431"/>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38" sqref="N38"/>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1060</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1061</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1062</v>
      </c>
      <c r="B2" s="8" t="s">
        <v>1063</v>
      </c>
      <c r="C2" s="8" t="s">
        <v>1064</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6" t="s">
        <v>1065</v>
      </c>
      <c r="AZ2" s="1047" t="s">
        <v>1066</v>
      </c>
      <c r="BA2" s="8" t="s">
        <v>1067</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v>73887.39</v>
      </c>
      <c r="B3" s="11">
        <f>IF(C3="否",G5-AT5,G5)</f>
        <v>144042.74</v>
      </c>
      <c r="C3" s="1577" t="s">
        <v>1068</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8"/>
      <c r="AZ3" s="1049"/>
      <c r="BA3" s="1050"/>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1069</v>
      </c>
      <c r="B5" s="1344"/>
      <c r="C5" s="1344"/>
      <c r="D5" s="1346"/>
      <c r="E5" s="13" t="s">
        <v>0</v>
      </c>
      <c r="F5" s="13">
        <f>SUM(F13:F587)</f>
        <v>0</v>
      </c>
      <c r="G5" s="13">
        <f>SUM(G13:G587)</f>
        <v>144042.74</v>
      </c>
      <c r="H5" s="13">
        <f t="shared" ref="H5:AT5" si="0">SUM(H13:H656)</f>
        <v>144042.74</v>
      </c>
      <c r="I5" s="13">
        <f t="shared" si="0"/>
        <v>93719.290000000023</v>
      </c>
      <c r="J5" s="13">
        <f t="shared" si="0"/>
        <v>31425.659999999993</v>
      </c>
      <c r="K5" s="13">
        <f t="shared" si="0"/>
        <v>23741.789999999994</v>
      </c>
      <c r="L5" s="13">
        <f t="shared" si="0"/>
        <v>2689.4699999999984</v>
      </c>
      <c r="M5" s="13">
        <f t="shared" si="0"/>
        <v>26581.66</v>
      </c>
      <c r="N5" s="13">
        <f t="shared" si="0"/>
        <v>4820.3300000001764</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1069</v>
      </c>
      <c r="AW5" s="1344"/>
      <c r="AX5" s="1344"/>
      <c r="AY5" s="14" t="s">
        <v>2</v>
      </c>
      <c r="AZ5" s="15">
        <f t="shared" ref="AZ5:BT5" si="1">SUM(AZ13:AZ656)</f>
        <v>105107.27999999982</v>
      </c>
      <c r="BA5" s="15">
        <f t="shared" si="1"/>
        <v>105107.27999999982</v>
      </c>
      <c r="BB5" s="15">
        <f t="shared" si="1"/>
        <v>62293.630000000019</v>
      </c>
      <c r="BC5" s="15">
        <f t="shared" si="1"/>
        <v>21052.319999999996</v>
      </c>
      <c r="BD5" s="15">
        <f t="shared" si="1"/>
        <v>21761.329999999823</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1070</v>
      </c>
      <c r="B6" s="1583"/>
      <c r="C6" s="1583"/>
      <c r="D6" s="1584"/>
      <c r="E6" s="13">
        <f>H6+AC6+AT6</f>
        <v>73887.39</v>
      </c>
      <c r="F6" s="13" t="s">
        <v>0</v>
      </c>
      <c r="G6" s="13" t="s">
        <v>1</v>
      </c>
      <c r="H6" s="17">
        <f>SUMIF(I$12:AB$12,"总值",I6:AB6)</f>
        <v>73887.39</v>
      </c>
      <c r="I6" s="13">
        <f t="shared" ref="I6:AB6" si="2">ROUND($A$3*I5/$B$3,2)</f>
        <v>48073.74</v>
      </c>
      <c r="J6" s="13">
        <f t="shared" si="2"/>
        <v>16119.94</v>
      </c>
      <c r="K6" s="13">
        <f t="shared" si="2"/>
        <v>12178.46</v>
      </c>
      <c r="L6" s="13">
        <f t="shared" si="2"/>
        <v>1379.58</v>
      </c>
      <c r="M6" s="13">
        <f t="shared" si="2"/>
        <v>13635.19</v>
      </c>
      <c r="N6" s="13">
        <f t="shared" si="2"/>
        <v>2472.61</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1070</v>
      </c>
      <c r="AW6" s="1583"/>
      <c r="AX6" s="1583"/>
      <c r="AY6" s="18">
        <f>IF(AY3&gt;0,AY3,ROUND($A$3*AZ5/$B$3,2))</f>
        <v>53915.27</v>
      </c>
      <c r="AZ6" s="13" t="s">
        <v>2</v>
      </c>
      <c r="BA6" s="13">
        <f>ROUND($AY$6*BA5/$AZ$5,2)</f>
        <v>53915.27</v>
      </c>
      <c r="BB6" s="13">
        <f>ROUND($AY$6*BB5/$AZ$5,2)</f>
        <v>31953.81</v>
      </c>
      <c r="BC6" s="13">
        <f t="shared" ref="BC6:BH6" si="4">ROUND($AY$6*BC5/$AZ$5,2)</f>
        <v>10798.89</v>
      </c>
      <c r="BD6" s="13">
        <f t="shared" si="4"/>
        <v>11162.58</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1071</v>
      </c>
      <c r="B7" s="1566" t="s">
        <v>1072</v>
      </c>
      <c r="C7" s="1566" t="s">
        <v>1073</v>
      </c>
      <c r="D7" s="1566" t="s">
        <v>1074</v>
      </c>
      <c r="E7" s="1566" t="s">
        <v>1075</v>
      </c>
      <c r="F7" s="1566" t="s">
        <v>1076</v>
      </c>
      <c r="G7" s="1587" t="s">
        <v>1077</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1078</v>
      </c>
      <c r="AV7" s="20" t="s">
        <v>1079</v>
      </c>
      <c r="AW7" s="1575" t="s">
        <v>1080</v>
      </c>
      <c r="AX7" s="20" t="s">
        <v>1073</v>
      </c>
      <c r="AY7" s="1344" t="s">
        <v>1081</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1082</v>
      </c>
      <c r="H8" s="1593" t="s">
        <v>1083</v>
      </c>
      <c r="I8" s="1594"/>
      <c r="J8" s="1357"/>
      <c r="K8" s="1357"/>
      <c r="L8" s="1357"/>
      <c r="M8" s="1357"/>
      <c r="N8" s="1357"/>
      <c r="O8" s="1357"/>
      <c r="P8" s="1357"/>
      <c r="Q8" s="1357"/>
      <c r="R8" s="1357"/>
      <c r="S8" s="1357"/>
      <c r="T8" s="1357"/>
      <c r="U8" s="1357"/>
      <c r="V8" s="1595"/>
      <c r="W8" s="1357"/>
      <c r="X8" s="1357"/>
      <c r="Y8" s="1357"/>
      <c r="Z8" s="1357"/>
      <c r="AA8" s="1595"/>
      <c r="AB8" s="1596"/>
      <c r="AC8" s="807" t="s">
        <v>1084</v>
      </c>
      <c r="AD8" s="1597"/>
      <c r="AE8" s="1589"/>
      <c r="AF8" s="1357"/>
      <c r="AG8" s="1357"/>
      <c r="AH8" s="1357"/>
      <c r="AI8" s="1357"/>
      <c r="AJ8" s="1357"/>
      <c r="AK8" s="1357"/>
      <c r="AL8" s="1357"/>
      <c r="AM8" s="1357"/>
      <c r="AN8" s="1357"/>
      <c r="AO8" s="1357"/>
      <c r="AP8" s="1357"/>
      <c r="AQ8" s="1357"/>
      <c r="AR8" s="1357"/>
      <c r="AS8" s="1357"/>
      <c r="AT8" s="1068" t="s">
        <v>1085</v>
      </c>
      <c r="AU8" s="1591" t="s">
        <v>1086</v>
      </c>
      <c r="AV8" s="1068"/>
      <c r="AW8" s="1574"/>
      <c r="AX8" s="1068"/>
      <c r="AY8" s="1575" t="s">
        <v>1087</v>
      </c>
      <c r="AZ8" s="1356" t="s">
        <v>1088</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8"/>
      <c r="H9" s="1599" t="s">
        <v>1089</v>
      </c>
      <c r="I9" s="1600" t="s">
        <v>3402</v>
      </c>
      <c r="J9" s="807"/>
      <c r="K9" s="1600" t="s">
        <v>3404</v>
      </c>
      <c r="L9" s="807"/>
      <c r="M9" s="1600" t="s">
        <v>3404</v>
      </c>
      <c r="N9" s="807"/>
      <c r="O9" s="1600"/>
      <c r="P9" s="807"/>
      <c r="Q9" s="1600"/>
      <c r="R9" s="807"/>
      <c r="S9" s="1600"/>
      <c r="T9" s="807"/>
      <c r="U9" s="1600"/>
      <c r="V9" s="807"/>
      <c r="W9" s="1600"/>
      <c r="X9" s="1601"/>
      <c r="Y9" s="1600"/>
      <c r="Z9" s="807"/>
      <c r="AA9" s="1600"/>
      <c r="AB9" s="807"/>
      <c r="AC9" s="1592" t="s">
        <v>1089</v>
      </c>
      <c r="AD9" s="12" t="s">
        <v>1090</v>
      </c>
      <c r="AE9" s="1074"/>
      <c r="AF9" s="12" t="s">
        <v>1091</v>
      </c>
      <c r="AG9" s="1074"/>
      <c r="AH9" s="12" t="s">
        <v>1090</v>
      </c>
      <c r="AI9" s="1074"/>
      <c r="AJ9" s="12" t="s">
        <v>1091</v>
      </c>
      <c r="AK9" s="1074"/>
      <c r="AL9" s="12" t="s">
        <v>1090</v>
      </c>
      <c r="AM9" s="1074"/>
      <c r="AN9" s="12" t="s">
        <v>1091</v>
      </c>
      <c r="AO9" s="1074"/>
      <c r="AP9" s="12" t="s">
        <v>1090</v>
      </c>
      <c r="AQ9" s="1074"/>
      <c r="AR9" s="12" t="s">
        <v>1091</v>
      </c>
      <c r="AS9" s="1602"/>
      <c r="AT9" s="1591"/>
      <c r="AU9" s="1591" t="s">
        <v>1092</v>
      </c>
      <c r="AV9" s="1068"/>
      <c r="AW9" s="1574"/>
      <c r="AX9" s="1068"/>
      <c r="AY9" s="25"/>
      <c r="AZ9" s="25" t="s">
        <v>1082</v>
      </c>
      <c r="BA9" s="1603" t="s">
        <v>1093</v>
      </c>
      <c r="BB9" s="1604"/>
      <c r="BC9" s="1086"/>
      <c r="BD9" s="1086"/>
      <c r="BE9" s="1086"/>
      <c r="BF9" s="1086"/>
      <c r="BG9" s="1086"/>
      <c r="BH9" s="1086"/>
      <c r="BI9" s="1086"/>
      <c r="BJ9" s="1086"/>
      <c r="BK9" s="1605"/>
      <c r="BL9" s="12" t="s">
        <v>1094</v>
      </c>
      <c r="BM9" s="1357"/>
      <c r="BN9" s="1594"/>
      <c r="BO9" s="1357"/>
      <c r="BP9" s="1357"/>
      <c r="BQ9" s="1357"/>
      <c r="BR9" s="1357"/>
      <c r="BS9" s="1357"/>
      <c r="BT9" s="23"/>
    </row>
    <row r="10" spans="1:72" s="1598" customFormat="1" ht="12.75">
      <c r="A10" s="1591"/>
      <c r="B10" s="1591"/>
      <c r="C10" s="1591"/>
      <c r="D10" s="1591"/>
      <c r="E10" s="1591"/>
      <c r="F10" s="1591"/>
      <c r="G10" s="1068"/>
      <c r="H10" s="25"/>
      <c r="I10" s="1600" t="s">
        <v>3403</v>
      </c>
      <c r="J10" s="807"/>
      <c r="K10" s="1606" t="s">
        <v>3327</v>
      </c>
      <c r="L10" s="807"/>
      <c r="M10" s="1606" t="s">
        <v>3326</v>
      </c>
      <c r="N10" s="807"/>
      <c r="O10" s="1606"/>
      <c r="P10" s="807"/>
      <c r="Q10" s="1606"/>
      <c r="R10" s="807"/>
      <c r="S10" s="1606"/>
      <c r="T10" s="807"/>
      <c r="U10" s="1606"/>
      <c r="V10" s="807"/>
      <c r="W10" s="1606"/>
      <c r="X10" s="807"/>
      <c r="Y10" s="1606"/>
      <c r="Z10" s="807"/>
      <c r="AA10" s="1606"/>
      <c r="AB10" s="807"/>
      <c r="AC10" s="1068"/>
      <c r="AD10" s="12" t="s">
        <v>1095</v>
      </c>
      <c r="AE10" s="1607"/>
      <c r="AF10" s="12" t="s">
        <v>1095</v>
      </c>
      <c r="AG10" s="1607"/>
      <c r="AH10" s="12" t="s">
        <v>1096</v>
      </c>
      <c r="AI10" s="1607"/>
      <c r="AJ10" s="12" t="s">
        <v>1096</v>
      </c>
      <c r="AK10" s="1607"/>
      <c r="AL10" s="12" t="s">
        <v>1097</v>
      </c>
      <c r="AM10" s="1074"/>
      <c r="AN10" s="12" t="s">
        <v>1097</v>
      </c>
      <c r="AO10" s="1074"/>
      <c r="AP10" s="12" t="s">
        <v>1098</v>
      </c>
      <c r="AQ10" s="1074"/>
      <c r="AR10" s="12" t="s">
        <v>1098</v>
      </c>
      <c r="AS10" s="1074"/>
      <c r="AT10" s="1591"/>
      <c r="AU10" s="1591"/>
      <c r="AV10" s="1068"/>
      <c r="AW10" s="1574"/>
      <c r="AX10" s="1068"/>
      <c r="AY10" s="25"/>
      <c r="AZ10" s="25"/>
      <c r="BA10" s="1608" t="s">
        <v>1089</v>
      </c>
      <c r="BB10" s="1609" t="str">
        <f>I9</f>
        <v>地上</v>
      </c>
      <c r="BC10" s="26" t="str">
        <f>K9</f>
        <v>地下</v>
      </c>
      <c r="BD10" s="26" t="str">
        <f>M9</f>
        <v>地下</v>
      </c>
      <c r="BE10" s="26">
        <f>O9</f>
        <v>0</v>
      </c>
      <c r="BF10" s="26">
        <f>Q9</f>
        <v>0</v>
      </c>
      <c r="BG10" s="26">
        <f>S9</f>
        <v>0</v>
      </c>
      <c r="BH10" s="26">
        <f>U9</f>
        <v>0</v>
      </c>
      <c r="BI10" s="26">
        <f>W9</f>
        <v>0</v>
      </c>
      <c r="BJ10" s="26">
        <f>Y9</f>
        <v>0</v>
      </c>
      <c r="BK10" s="26">
        <f>AA9</f>
        <v>0</v>
      </c>
      <c r="BL10" s="22" t="s">
        <v>1089</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8"/>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8"/>
      <c r="AD11" s="1613" t="s">
        <v>1099</v>
      </c>
      <c r="AE11" s="1358"/>
      <c r="AF11" s="1613" t="s">
        <v>1099</v>
      </c>
      <c r="AG11" s="1358"/>
      <c r="AH11" s="1613" t="s">
        <v>1100</v>
      </c>
      <c r="AI11" s="1614"/>
      <c r="AJ11" s="1613" t="s">
        <v>1100</v>
      </c>
      <c r="AK11" s="1358"/>
      <c r="AL11" s="1356"/>
      <c r="AM11" s="1358"/>
      <c r="AN11" s="1356"/>
      <c r="AO11" s="1358"/>
      <c r="AP11" s="1356"/>
      <c r="AQ11" s="1358"/>
      <c r="AR11" s="1356"/>
      <c r="AS11" s="1358"/>
      <c r="AT11" s="1574"/>
      <c r="AU11" s="1591"/>
      <c r="AV11" s="1068"/>
      <c r="AW11" s="1574"/>
      <c r="AX11" s="1068"/>
      <c r="AY11" s="25"/>
      <c r="AZ11" s="25"/>
      <c r="BA11" s="25"/>
      <c r="BB11" s="1596" t="str">
        <f>I10</f>
        <v>住宅</v>
      </c>
      <c r="BC11" s="1596" t="str">
        <f>K10</f>
        <v>仓储</v>
      </c>
      <c r="BD11" s="1596" t="str">
        <f>M10</f>
        <v>车库</v>
      </c>
      <c r="BE11" s="1596">
        <f>O10</f>
        <v>0</v>
      </c>
      <c r="BF11" s="1596">
        <f>Q10</f>
        <v>0</v>
      </c>
      <c r="BG11" s="1596">
        <f>S10</f>
        <v>0</v>
      </c>
      <c r="BH11" s="1596">
        <f>U10</f>
        <v>0</v>
      </c>
      <c r="BI11" s="1596">
        <f>W10</f>
        <v>0</v>
      </c>
      <c r="BJ11" s="1596">
        <f>Y10</f>
        <v>0</v>
      </c>
      <c r="BK11" s="1596">
        <f>AA10</f>
        <v>0</v>
      </c>
      <c r="BL11" s="1068"/>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3" t="s">
        <v>1102</v>
      </c>
      <c r="W12" s="8" t="s">
        <v>1101</v>
      </c>
      <c r="X12" s="8" t="s">
        <v>1102</v>
      </c>
      <c r="Y12" s="8" t="s">
        <v>1101</v>
      </c>
      <c r="Z12" s="8" t="s">
        <v>1102</v>
      </c>
      <c r="AA12" s="8" t="s">
        <v>1101</v>
      </c>
      <c r="AB12" s="8" t="s">
        <v>1102</v>
      </c>
      <c r="AC12" s="1618"/>
      <c r="AD12" s="1346"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6" t="s">
        <v>1102</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8"/>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9"/>
      <c r="B13" s="1049"/>
      <c r="C13" s="1049" t="s">
        <v>3400</v>
      </c>
      <c r="D13" s="1622" t="s">
        <v>3401</v>
      </c>
      <c r="E13" s="13">
        <f>IF($C$3="是",ROUND($A$3*G13/$B$3,2),ROUND($A$3*(G13-AT13)/$B$3,2))</f>
        <v>1896.14</v>
      </c>
      <c r="F13" s="29"/>
      <c r="G13" s="30">
        <f>H13+AC13+AT13</f>
        <v>3696.5</v>
      </c>
      <c r="H13" s="17">
        <f>SUMIF(I$12:AB$12,"总值",I13:AB13)</f>
        <v>3696.5</v>
      </c>
      <c r="I13" s="1623">
        <v>2937.98</v>
      </c>
      <c r="J13" s="1623">
        <f>未售清单!I3</f>
        <v>0</v>
      </c>
      <c r="K13" s="1623">
        <v>758.52</v>
      </c>
      <c r="L13" s="1623">
        <f>未售清单!J3</f>
        <v>0</v>
      </c>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t="str">
        <f t="shared" si="6"/>
        <v>1#住宅楼</v>
      </c>
      <c r="AY13" s="1346">
        <f>ROUND($AY$6*AZ13/$AZ$5,2)</f>
        <v>1896.14</v>
      </c>
      <c r="AZ13" s="13">
        <f>BA13+BL13</f>
        <v>3696.5</v>
      </c>
      <c r="BA13" s="13">
        <f>SUM(BB13:BK13)</f>
        <v>3696.5</v>
      </c>
      <c r="BB13" s="13">
        <f>IF($D13="是",I13-J13,0)</f>
        <v>2937.98</v>
      </c>
      <c r="BC13" s="13">
        <f>IF($D13="是",K13-L13,0)</f>
        <v>758.52</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9"/>
      <c r="B14" s="1049"/>
      <c r="C14" s="1567" t="s">
        <v>3405</v>
      </c>
      <c r="D14" s="1622" t="s">
        <v>3401</v>
      </c>
      <c r="E14" s="13">
        <f>IF($C$3="是",ROUND($A$3*G14/$B$3,2),ROUND($A$3*(G14-AT14)/$B$3,2))</f>
        <v>2827.29</v>
      </c>
      <c r="F14" s="29"/>
      <c r="G14" s="30">
        <f>H14+AC14+AT14</f>
        <v>5511.78</v>
      </c>
      <c r="H14" s="17">
        <f>SUMIF(I$12:AB$12,"总值",I14:AB14)</f>
        <v>5511.78</v>
      </c>
      <c r="I14" s="1623">
        <v>4393.91</v>
      </c>
      <c r="J14" s="1623">
        <f>未售清单!I4</f>
        <v>930.51000000000113</v>
      </c>
      <c r="K14" s="1623">
        <v>1117.8699999999999</v>
      </c>
      <c r="L14" s="1623">
        <f>未售清单!J4</f>
        <v>0</v>
      </c>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t="str">
        <f t="shared" si="6"/>
        <v>2#住宅楼</v>
      </c>
      <c r="AY14" s="1346">
        <f>ROUND($AY$6*AZ14/$AZ$5,2)</f>
        <v>2349.98</v>
      </c>
      <c r="AZ14" s="13">
        <f>BA14+BL14</f>
        <v>4581.2699999999986</v>
      </c>
      <c r="BA14" s="13">
        <f>SUM(BB14:BK14)</f>
        <v>4581.2699999999986</v>
      </c>
      <c r="BB14" s="13">
        <f>IF($D14="是",I14-J14,0)</f>
        <v>3463.3999999999987</v>
      </c>
      <c r="BC14" s="13">
        <f>IF($D14="是",K14-L14,0)</f>
        <v>1117.8699999999999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9"/>
      <c r="B15" s="1049"/>
      <c r="C15" s="1567" t="s">
        <v>3406</v>
      </c>
      <c r="D15" s="1622" t="s">
        <v>3401</v>
      </c>
      <c r="E15" s="13">
        <f>IF($C$3="是",ROUND($A$3*G15/$B$3,2),ROUND($A$3*(G15-AT15)/$B$3,2))</f>
        <v>2836.46</v>
      </c>
      <c r="F15" s="29"/>
      <c r="G15" s="30">
        <f>H15+AC15+AT15</f>
        <v>5529.66</v>
      </c>
      <c r="H15" s="17">
        <f>SUMIF(I$12:AB$12,"总值",I15:AB15)</f>
        <v>5529.66</v>
      </c>
      <c r="I15" s="1623">
        <v>4413.4399999999996</v>
      </c>
      <c r="J15" s="1623">
        <f>未售清单!I5</f>
        <v>2414.87</v>
      </c>
      <c r="K15" s="1623">
        <v>1116.22</v>
      </c>
      <c r="L15" s="1623">
        <f>未售清单!J5</f>
        <v>190.21000000000026</v>
      </c>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t="str">
        <f t="shared" si="6"/>
        <v>3#住宅楼</v>
      </c>
      <c r="AY15" s="1346">
        <f>ROUND($AY$6*AZ15/$AZ$5,2)</f>
        <v>1500.18</v>
      </c>
      <c r="AZ15" s="13">
        <f>BA15+BL15</f>
        <v>2924.5799999999995</v>
      </c>
      <c r="BA15" s="13">
        <f>SUM(BB15:BK15)</f>
        <v>2924.5799999999995</v>
      </c>
      <c r="BB15" s="13">
        <f>IF($D15="是",I15-J15,0)</f>
        <v>1998.5699999999997</v>
      </c>
      <c r="BC15" s="13">
        <f>IF($D15="是",K15-L15,0)</f>
        <v>926.00999999999976</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9"/>
      <c r="B16" s="1049"/>
      <c r="C16" s="1567" t="s">
        <v>3407</v>
      </c>
      <c r="D16" s="1622" t="s">
        <v>3401</v>
      </c>
      <c r="E16" s="13">
        <f>IF($C$3="是",ROUND($A$3*G16/$B$3,2),ROUND($A$3*(G16-AT16)/$B$3,2))</f>
        <v>1895.36</v>
      </c>
      <c r="F16" s="29"/>
      <c r="G16" s="30">
        <f>H16+AC16+AT16</f>
        <v>3694.99</v>
      </c>
      <c r="H16" s="17">
        <f>SUMIF(I$12:AB$12,"总值",I16:AB16)</f>
        <v>3694.99</v>
      </c>
      <c r="I16" s="1623">
        <v>2950.94</v>
      </c>
      <c r="J16" s="1623">
        <f>未售清单!I6</f>
        <v>1476.3</v>
      </c>
      <c r="K16" s="1623">
        <v>744.05</v>
      </c>
      <c r="L16" s="1623">
        <f>未售清单!J6</f>
        <v>0</v>
      </c>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t="str">
        <f t="shared" si="6"/>
        <v>4#住宅楼</v>
      </c>
      <c r="AY16" s="1346">
        <f>ROUND($AY$6*AZ16/$AZ$5,2)</f>
        <v>1138.0899999999999</v>
      </c>
      <c r="AZ16" s="13">
        <f>BA16+BL16</f>
        <v>2218.69</v>
      </c>
      <c r="BA16" s="13">
        <f>SUM(BB16:BK16)</f>
        <v>2218.69</v>
      </c>
      <c r="BB16" s="13">
        <f>IF($D16="是",I16-J16,0)</f>
        <v>1474.64</v>
      </c>
      <c r="BC16" s="13">
        <f>IF($D16="是",K16-L16,0)</f>
        <v>744.05</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9"/>
      <c r="B17" s="1049"/>
      <c r="C17" s="1567" t="s">
        <v>3408</v>
      </c>
      <c r="D17" s="1622" t="s">
        <v>3401</v>
      </c>
      <c r="E17" s="13">
        <f>IF($C$3="是",ROUND($A$3*G17/$B$3,2),ROUND($A$3*(G17-AT17)/$B$3,2))</f>
        <v>970.64</v>
      </c>
      <c r="F17" s="29"/>
      <c r="G17" s="30">
        <f>H17+AC17+AT17</f>
        <v>1892.26</v>
      </c>
      <c r="H17" s="17">
        <f>SUMIF(I$12:AB$12,"总值",I17:AB17)</f>
        <v>1892.26</v>
      </c>
      <c r="I17" s="1623">
        <v>1462.73</v>
      </c>
      <c r="J17" s="1623">
        <f>未售清单!I7</f>
        <v>184.95999999999981</v>
      </c>
      <c r="K17" s="1623">
        <v>429.53</v>
      </c>
      <c r="L17" s="1623">
        <f>未售清单!J7</f>
        <v>0</v>
      </c>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t="str">
        <f t="shared" si="6"/>
        <v>5#住宅楼</v>
      </c>
      <c r="AY17" s="1346">
        <f>ROUND($AY$6*AZ17/$AZ$5,2)</f>
        <v>875.77</v>
      </c>
      <c r="AZ17" s="13">
        <f>BA17+BL17</f>
        <v>1707.3000000000002</v>
      </c>
      <c r="BA17" s="13">
        <f>SUM(BB17:BK17)</f>
        <v>1707.3000000000002</v>
      </c>
      <c r="BB17" s="13">
        <f>IF($D17="是",I17-J17,0)</f>
        <v>1277.7700000000002</v>
      </c>
      <c r="BC17" s="13">
        <f>IF($D17="是",K17-L17,0)</f>
        <v>429.53</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567" t="s">
        <v>3409</v>
      </c>
      <c r="D18" s="1622" t="s">
        <v>3401</v>
      </c>
      <c r="E18" s="32">
        <f t="shared" ref="E18:E112" si="7">IF($C$3="是",ROUND($A$3*G18/$B$3,2),ROUND($A$3*(G18-AT18)/$B$3,2))</f>
        <v>985.71</v>
      </c>
      <c r="F18" s="33"/>
      <c r="G18" s="34">
        <f t="shared" ref="G18:G109" si="8">H18+AC18+AT18</f>
        <v>1921.6299999999999</v>
      </c>
      <c r="H18" s="35">
        <f t="shared" ref="H18:H109" si="9">SUMIF(I$12:AB$12,"总值",I18:AB18)</f>
        <v>1921.6299999999999</v>
      </c>
      <c r="I18" s="36">
        <v>1523.06</v>
      </c>
      <c r="J18" s="1623">
        <f>未售清单!I8</f>
        <v>945.45999999999992</v>
      </c>
      <c r="K18" s="36">
        <v>398.57</v>
      </c>
      <c r="L18" s="1623">
        <f>未售清单!J8</f>
        <v>137.07999999999998</v>
      </c>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t="str">
        <f t="shared" ref="AX18:AX112" si="13">C18</f>
        <v>6#住宅楼</v>
      </c>
      <c r="AY18" s="39">
        <f t="shared" ref="AY18:AY109" si="14">ROUND($AY$6*AZ18/$AZ$5,2)</f>
        <v>430.42</v>
      </c>
      <c r="AZ18" s="32">
        <f t="shared" ref="AZ18:AZ109" si="15">BA18+BL18</f>
        <v>839.09</v>
      </c>
      <c r="BA18" s="32">
        <f t="shared" ref="BA18:BA109" si="16">SUM(BB18:BK18)</f>
        <v>839.09</v>
      </c>
      <c r="BB18" s="32">
        <f t="shared" ref="BB18:BB109" si="17">IF($D18="是",I18-J18,0)</f>
        <v>577.6</v>
      </c>
      <c r="BC18" s="32">
        <f t="shared" ref="BC18:BC109" si="18">IF($D18="是",K18-L18,0)</f>
        <v>261.49</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567" t="s">
        <v>3410</v>
      </c>
      <c r="D19" s="1622" t="s">
        <v>3401</v>
      </c>
      <c r="E19" s="32">
        <f t="shared" si="7"/>
        <v>2832.52</v>
      </c>
      <c r="F19" s="33"/>
      <c r="G19" s="34">
        <f t="shared" si="8"/>
        <v>5521.9699999999993</v>
      </c>
      <c r="H19" s="35">
        <f t="shared" si="9"/>
        <v>5521.9699999999993</v>
      </c>
      <c r="I19" s="36">
        <v>4411.7</v>
      </c>
      <c r="J19" s="1623">
        <f>未售清单!I9</f>
        <v>2615.5099999999993</v>
      </c>
      <c r="K19" s="36">
        <v>1110.27</v>
      </c>
      <c r="L19" s="1623">
        <f>未售清单!J9</f>
        <v>0</v>
      </c>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t="str">
        <f t="shared" si="13"/>
        <v>7#住宅楼</v>
      </c>
      <c r="AY19" s="39">
        <f t="shared" si="14"/>
        <v>1490.88</v>
      </c>
      <c r="AZ19" s="32">
        <f t="shared" si="15"/>
        <v>2906.4600000000005</v>
      </c>
      <c r="BA19" s="32">
        <f t="shared" si="16"/>
        <v>2906.4600000000005</v>
      </c>
      <c r="BB19" s="32">
        <f t="shared" si="17"/>
        <v>1796.1900000000005</v>
      </c>
      <c r="BC19" s="32">
        <f t="shared" si="18"/>
        <v>1110.27</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567" t="s">
        <v>3411</v>
      </c>
      <c r="D20" s="1622" t="s">
        <v>3401</v>
      </c>
      <c r="E20" s="32">
        <f t="shared" si="7"/>
        <v>1891.38</v>
      </c>
      <c r="F20" s="33"/>
      <c r="G20" s="34">
        <f t="shared" si="8"/>
        <v>3687.22</v>
      </c>
      <c r="H20" s="35">
        <f t="shared" si="9"/>
        <v>3687.22</v>
      </c>
      <c r="I20" s="36">
        <v>2940.24</v>
      </c>
      <c r="J20" s="1623">
        <f>未售清单!I10</f>
        <v>553.87999999999965</v>
      </c>
      <c r="K20" s="36">
        <v>746.98</v>
      </c>
      <c r="L20" s="1623">
        <f>未售清单!J10</f>
        <v>0</v>
      </c>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t="str">
        <f t="shared" si="13"/>
        <v>9#住宅楼</v>
      </c>
      <c r="AY20" s="39">
        <f t="shared" si="14"/>
        <v>1607.26</v>
      </c>
      <c r="AZ20" s="32">
        <f t="shared" si="15"/>
        <v>3133.34</v>
      </c>
      <c r="BA20" s="32">
        <f t="shared" si="16"/>
        <v>3133.34</v>
      </c>
      <c r="BB20" s="32">
        <f t="shared" si="17"/>
        <v>2386.36</v>
      </c>
      <c r="BC20" s="32">
        <f t="shared" si="18"/>
        <v>746.98</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567" t="s">
        <v>3412</v>
      </c>
      <c r="D21" s="1622" t="s">
        <v>3401</v>
      </c>
      <c r="E21" s="32">
        <f t="shared" si="7"/>
        <v>1891.02</v>
      </c>
      <c r="F21" s="33"/>
      <c r="G21" s="34">
        <f t="shared" si="8"/>
        <v>3686.52</v>
      </c>
      <c r="H21" s="35">
        <f t="shared" si="9"/>
        <v>3686.52</v>
      </c>
      <c r="I21" s="36">
        <v>2939.91</v>
      </c>
      <c r="J21" s="1623">
        <f>未售清单!I11</f>
        <v>1869.58</v>
      </c>
      <c r="K21" s="36">
        <v>746.61</v>
      </c>
      <c r="L21" s="1623">
        <f>未售清单!J11</f>
        <v>0</v>
      </c>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t="str">
        <f t="shared" si="13"/>
        <v>10#住宅楼</v>
      </c>
      <c r="AY21" s="39">
        <f t="shared" si="14"/>
        <v>932.01</v>
      </c>
      <c r="AZ21" s="32">
        <f t="shared" si="15"/>
        <v>1816.94</v>
      </c>
      <c r="BA21" s="32">
        <f t="shared" si="16"/>
        <v>1816.94</v>
      </c>
      <c r="BB21" s="32">
        <f t="shared" si="17"/>
        <v>1070.33</v>
      </c>
      <c r="BC21" s="32">
        <f t="shared" si="18"/>
        <v>746.61</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567" t="s">
        <v>3413</v>
      </c>
      <c r="D22" s="1622" t="s">
        <v>3401</v>
      </c>
      <c r="E22" s="32">
        <f t="shared" si="7"/>
        <v>2833.65</v>
      </c>
      <c r="F22" s="33"/>
      <c r="G22" s="34">
        <f t="shared" si="8"/>
        <v>5524.17</v>
      </c>
      <c r="H22" s="35">
        <f t="shared" si="9"/>
        <v>5524.17</v>
      </c>
      <c r="I22" s="36">
        <v>4412.8999999999996</v>
      </c>
      <c r="J22" s="1623">
        <f>未售清单!I12</f>
        <v>2608.1399999999994</v>
      </c>
      <c r="K22" s="36">
        <v>1111.27</v>
      </c>
      <c r="L22" s="1623">
        <f>未售清单!J12</f>
        <v>138.05999999999995</v>
      </c>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t="str">
        <f t="shared" si="13"/>
        <v>11#住宅楼</v>
      </c>
      <c r="AY22" s="39">
        <f t="shared" si="14"/>
        <v>1424.97</v>
      </c>
      <c r="AZ22" s="32">
        <f t="shared" si="15"/>
        <v>2777.9700000000003</v>
      </c>
      <c r="BA22" s="32">
        <f t="shared" si="16"/>
        <v>2777.9700000000003</v>
      </c>
      <c r="BB22" s="32">
        <f t="shared" si="17"/>
        <v>1804.7600000000002</v>
      </c>
      <c r="BC22" s="32">
        <f t="shared" si="18"/>
        <v>973.21</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567" t="s">
        <v>3414</v>
      </c>
      <c r="D23" s="1622" t="s">
        <v>3401</v>
      </c>
      <c r="E23" s="32">
        <f t="shared" si="7"/>
        <v>3373.46</v>
      </c>
      <c r="F23" s="33"/>
      <c r="G23" s="34">
        <f t="shared" si="8"/>
        <v>6576.5199999999995</v>
      </c>
      <c r="H23" s="35">
        <f t="shared" si="9"/>
        <v>6576.5199999999995</v>
      </c>
      <c r="I23" s="36">
        <v>5299.94</v>
      </c>
      <c r="J23" s="1623">
        <f>未售清单!I13</f>
        <v>219.52999999999975</v>
      </c>
      <c r="K23" s="36">
        <v>1276.58</v>
      </c>
      <c r="L23" s="1623">
        <f>未售清单!J13</f>
        <v>231.76999999999975</v>
      </c>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t="str">
        <f t="shared" si="13"/>
        <v>12#住宅楼</v>
      </c>
      <c r="AY23" s="39">
        <f t="shared" si="14"/>
        <v>3141.96</v>
      </c>
      <c r="AZ23" s="32">
        <f t="shared" si="15"/>
        <v>6125.22</v>
      </c>
      <c r="BA23" s="32">
        <f t="shared" si="16"/>
        <v>6125.22</v>
      </c>
      <c r="BB23" s="32">
        <f t="shared" si="17"/>
        <v>5080.41</v>
      </c>
      <c r="BC23" s="32">
        <f t="shared" si="18"/>
        <v>1044.8100000000002</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567" t="s">
        <v>3415</v>
      </c>
      <c r="D24" s="1622" t="s">
        <v>3401</v>
      </c>
      <c r="E24" s="32">
        <f t="shared" si="7"/>
        <v>2757.39</v>
      </c>
      <c r="F24" s="33"/>
      <c r="G24" s="34">
        <f t="shared" si="8"/>
        <v>5375.51</v>
      </c>
      <c r="H24" s="35">
        <f t="shared" si="9"/>
        <v>5375.51</v>
      </c>
      <c r="I24" s="36">
        <v>4359.18</v>
      </c>
      <c r="J24" s="1623">
        <f>未售清单!I14</f>
        <v>546.10000000000036</v>
      </c>
      <c r="K24" s="36">
        <v>1016.33</v>
      </c>
      <c r="L24" s="1623">
        <f>未售清单!J14</f>
        <v>0</v>
      </c>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t="str">
        <f t="shared" si="13"/>
        <v>13#住宅楼</v>
      </c>
      <c r="AY24" s="39">
        <f t="shared" si="14"/>
        <v>2477.27</v>
      </c>
      <c r="AZ24" s="32">
        <f t="shared" si="15"/>
        <v>4829.41</v>
      </c>
      <c r="BA24" s="32">
        <f t="shared" si="16"/>
        <v>4829.41</v>
      </c>
      <c r="BB24" s="32">
        <f t="shared" si="17"/>
        <v>3813.08</v>
      </c>
      <c r="BC24" s="32">
        <f t="shared" si="18"/>
        <v>1016.33</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1567" t="s">
        <v>3416</v>
      </c>
      <c r="D25" s="1622" t="s">
        <v>3401</v>
      </c>
      <c r="E25" s="32">
        <f t="shared" si="7"/>
        <v>1192.46</v>
      </c>
      <c r="F25" s="33"/>
      <c r="G25" s="34">
        <f t="shared" si="8"/>
        <v>2324.69</v>
      </c>
      <c r="H25" s="35">
        <f t="shared" si="9"/>
        <v>2324.69</v>
      </c>
      <c r="I25" s="36">
        <v>1824.32</v>
      </c>
      <c r="J25" s="1623">
        <f>未售清单!I15</f>
        <v>219.73000000000025</v>
      </c>
      <c r="K25" s="36">
        <v>500.37</v>
      </c>
      <c r="L25" s="1623">
        <f>未售清单!J15</f>
        <v>227.77000000000004</v>
      </c>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t="str">
        <f t="shared" si="13"/>
        <v>14#住宅楼</v>
      </c>
      <c r="AY25" s="39">
        <f t="shared" si="14"/>
        <v>962.91</v>
      </c>
      <c r="AZ25" s="32">
        <f t="shared" si="15"/>
        <v>1877.1899999999996</v>
      </c>
      <c r="BA25" s="32">
        <f t="shared" si="16"/>
        <v>1877.1899999999996</v>
      </c>
      <c r="BB25" s="32">
        <f t="shared" si="17"/>
        <v>1604.5899999999997</v>
      </c>
      <c r="BC25" s="32">
        <f t="shared" si="18"/>
        <v>272.59999999999997</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1567" t="s">
        <v>3417</v>
      </c>
      <c r="D26" s="1622" t="s">
        <v>3401</v>
      </c>
      <c r="E26" s="32">
        <f t="shared" si="7"/>
        <v>1383.8</v>
      </c>
      <c r="F26" s="33"/>
      <c r="G26" s="34">
        <f t="shared" si="8"/>
        <v>2697.7000000000003</v>
      </c>
      <c r="H26" s="35">
        <f t="shared" si="9"/>
        <v>2697.7000000000003</v>
      </c>
      <c r="I26" s="36">
        <v>2182.8000000000002</v>
      </c>
      <c r="J26" s="1623">
        <f>未售清单!I16</f>
        <v>545.62000000000035</v>
      </c>
      <c r="K26" s="36">
        <v>514.9</v>
      </c>
      <c r="L26" s="1623">
        <f>未售清单!J16</f>
        <v>264.69</v>
      </c>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t="str">
        <f t="shared" si="13"/>
        <v>15#住宅楼</v>
      </c>
      <c r="AY26" s="39">
        <f t="shared" si="14"/>
        <v>968.15</v>
      </c>
      <c r="AZ26" s="32">
        <f t="shared" si="15"/>
        <v>1887.3899999999999</v>
      </c>
      <c r="BA26" s="32">
        <f t="shared" si="16"/>
        <v>1887.3899999999999</v>
      </c>
      <c r="BB26" s="32">
        <f t="shared" si="17"/>
        <v>1637.1799999999998</v>
      </c>
      <c r="BC26" s="32">
        <f t="shared" si="18"/>
        <v>250.20999999999998</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1567" t="s">
        <v>3418</v>
      </c>
      <c r="D27" s="1622" t="s">
        <v>3401</v>
      </c>
      <c r="E27" s="32">
        <f t="shared" si="7"/>
        <v>2752.23</v>
      </c>
      <c r="F27" s="33"/>
      <c r="G27" s="34">
        <f t="shared" si="8"/>
        <v>5365.45</v>
      </c>
      <c r="H27" s="35">
        <f t="shared" si="9"/>
        <v>5365.45</v>
      </c>
      <c r="I27" s="36">
        <v>4357.32</v>
      </c>
      <c r="J27" s="1623">
        <f>未售清单!I17</f>
        <v>1632.8399999999992</v>
      </c>
      <c r="K27" s="36">
        <v>1008.13</v>
      </c>
      <c r="L27" s="1623">
        <f>未售清单!J17</f>
        <v>0</v>
      </c>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t="str">
        <f t="shared" si="13"/>
        <v>16#住宅楼</v>
      </c>
      <c r="AY27" s="39">
        <f t="shared" si="14"/>
        <v>1914.66</v>
      </c>
      <c r="AZ27" s="32">
        <f t="shared" si="15"/>
        <v>3732.6100000000006</v>
      </c>
      <c r="BA27" s="32">
        <f t="shared" si="16"/>
        <v>3732.6100000000006</v>
      </c>
      <c r="BB27" s="32">
        <f t="shared" si="17"/>
        <v>2724.4800000000005</v>
      </c>
      <c r="BC27" s="32">
        <f t="shared" si="18"/>
        <v>1008.13</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1567" t="s">
        <v>3419</v>
      </c>
      <c r="D28" s="1622" t="s">
        <v>3401</v>
      </c>
      <c r="E28" s="32">
        <f t="shared" si="7"/>
        <v>2899.15</v>
      </c>
      <c r="F28" s="33"/>
      <c r="G28" s="34">
        <f t="shared" si="8"/>
        <v>5651.8600000000006</v>
      </c>
      <c r="H28" s="35">
        <f t="shared" si="9"/>
        <v>5651.8600000000006</v>
      </c>
      <c r="I28" s="36">
        <v>4442.43</v>
      </c>
      <c r="J28" s="1623">
        <f>未售清单!I18</f>
        <v>2028.8500000000004</v>
      </c>
      <c r="K28" s="36">
        <v>1209.43</v>
      </c>
      <c r="L28" s="1623">
        <f>未售清单!J18</f>
        <v>187.43999999999983</v>
      </c>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t="str">
        <f t="shared" si="13"/>
        <v>17#住宅楼</v>
      </c>
      <c r="AY28" s="39">
        <f t="shared" si="14"/>
        <v>1762.29</v>
      </c>
      <c r="AZ28" s="32">
        <f t="shared" si="15"/>
        <v>3435.57</v>
      </c>
      <c r="BA28" s="32">
        <f t="shared" si="16"/>
        <v>3435.57</v>
      </c>
      <c r="BB28" s="32">
        <f t="shared" si="17"/>
        <v>2413.58</v>
      </c>
      <c r="BC28" s="32">
        <f t="shared" si="18"/>
        <v>1021.9900000000002</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1567" t="s">
        <v>3420</v>
      </c>
      <c r="D29" s="1622" t="s">
        <v>3401</v>
      </c>
      <c r="E29" s="32">
        <f t="shared" si="7"/>
        <v>2757.66</v>
      </c>
      <c r="F29" s="33"/>
      <c r="G29" s="34">
        <f t="shared" si="8"/>
        <v>5376.03</v>
      </c>
      <c r="H29" s="35">
        <f t="shared" si="9"/>
        <v>5376.03</v>
      </c>
      <c r="I29" s="36">
        <v>4357.8999999999996</v>
      </c>
      <c r="J29" s="1623">
        <f>未售清单!I19</f>
        <v>2181.4199999999996</v>
      </c>
      <c r="K29" s="36">
        <v>1018.13</v>
      </c>
      <c r="L29" s="1623">
        <f>未售清单!J19</f>
        <v>0</v>
      </c>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t="str">
        <f t="shared" si="13"/>
        <v>19#住宅楼</v>
      </c>
      <c r="AY29" s="39">
        <f t="shared" si="14"/>
        <v>1638.69</v>
      </c>
      <c r="AZ29" s="32">
        <f t="shared" si="15"/>
        <v>3194.61</v>
      </c>
      <c r="BA29" s="32">
        <f t="shared" si="16"/>
        <v>3194.61</v>
      </c>
      <c r="BB29" s="32">
        <f t="shared" si="17"/>
        <v>2176.48</v>
      </c>
      <c r="BC29" s="32">
        <f t="shared" si="18"/>
        <v>1018.13</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1567" t="s">
        <v>3421</v>
      </c>
      <c r="D30" s="1622" t="s">
        <v>3401</v>
      </c>
      <c r="E30" s="32">
        <f t="shared" si="7"/>
        <v>2279.19</v>
      </c>
      <c r="F30" s="33"/>
      <c r="G30" s="34">
        <f t="shared" si="8"/>
        <v>4443.25</v>
      </c>
      <c r="H30" s="35">
        <f t="shared" si="9"/>
        <v>4443.25</v>
      </c>
      <c r="I30" s="36">
        <v>3576.76</v>
      </c>
      <c r="J30" s="1623">
        <f>未售清单!I20</f>
        <v>1124.8900000000003</v>
      </c>
      <c r="K30" s="36">
        <v>866.49</v>
      </c>
      <c r="L30" s="1623">
        <f>未售清单!J20</f>
        <v>232.89999999999998</v>
      </c>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t="str">
        <f t="shared" si="13"/>
        <v>20#住宅楼</v>
      </c>
      <c r="AY30" s="39">
        <f t="shared" si="14"/>
        <v>1582.7</v>
      </c>
      <c r="AZ30" s="32">
        <f t="shared" si="15"/>
        <v>3085.46</v>
      </c>
      <c r="BA30" s="32">
        <f t="shared" si="16"/>
        <v>3085.46</v>
      </c>
      <c r="BB30" s="32">
        <f t="shared" si="17"/>
        <v>2451.87</v>
      </c>
      <c r="BC30" s="32">
        <f t="shared" si="18"/>
        <v>633.59</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1567" t="s">
        <v>3422</v>
      </c>
      <c r="D31" s="1622" t="s">
        <v>3401</v>
      </c>
      <c r="E31" s="32">
        <f t="shared" si="7"/>
        <v>3390.38</v>
      </c>
      <c r="F31" s="33"/>
      <c r="G31" s="34">
        <f t="shared" si="8"/>
        <v>6609.5199999999995</v>
      </c>
      <c r="H31" s="35">
        <f t="shared" si="9"/>
        <v>6609.5199999999995</v>
      </c>
      <c r="I31" s="36">
        <v>5330.19</v>
      </c>
      <c r="J31" s="1623">
        <f>未售清单!I21</f>
        <v>2464.8899999999994</v>
      </c>
      <c r="K31" s="36">
        <v>1279.33</v>
      </c>
      <c r="L31" s="1623">
        <f>未售清单!J21</f>
        <v>230.69000000000005</v>
      </c>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t="str">
        <f t="shared" si="13"/>
        <v>21#住宅楼</v>
      </c>
      <c r="AY31" s="39">
        <f t="shared" si="14"/>
        <v>2007.67</v>
      </c>
      <c r="AZ31" s="32">
        <f t="shared" si="15"/>
        <v>3913.94</v>
      </c>
      <c r="BA31" s="32">
        <f t="shared" si="16"/>
        <v>3913.94</v>
      </c>
      <c r="BB31" s="32">
        <f t="shared" si="17"/>
        <v>2865.3</v>
      </c>
      <c r="BC31" s="32">
        <f t="shared" si="18"/>
        <v>1048.6399999999999</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1567" t="s">
        <v>3423</v>
      </c>
      <c r="D32" s="1622" t="s">
        <v>3401</v>
      </c>
      <c r="E32" s="32">
        <f t="shared" si="7"/>
        <v>2769.11</v>
      </c>
      <c r="F32" s="33"/>
      <c r="G32" s="34">
        <f t="shared" si="8"/>
        <v>5398.36</v>
      </c>
      <c r="H32" s="35">
        <f t="shared" si="9"/>
        <v>5398.36</v>
      </c>
      <c r="I32" s="36">
        <v>4358.24</v>
      </c>
      <c r="J32" s="1623">
        <f>未售清单!I22</f>
        <v>818.96999999999935</v>
      </c>
      <c r="K32" s="36">
        <v>1040.1199999999999</v>
      </c>
      <c r="L32" s="1623">
        <f>未售清单!J22</f>
        <v>0</v>
      </c>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t="str">
        <f t="shared" si="13"/>
        <v>22#住宅楼</v>
      </c>
      <c r="AY32" s="39">
        <f t="shared" si="14"/>
        <v>2349.02</v>
      </c>
      <c r="AZ32" s="32">
        <f t="shared" si="15"/>
        <v>4579.3900000000003</v>
      </c>
      <c r="BA32" s="32">
        <f t="shared" si="16"/>
        <v>4579.3900000000003</v>
      </c>
      <c r="BB32" s="32">
        <f t="shared" si="17"/>
        <v>3539.2700000000004</v>
      </c>
      <c r="BC32" s="32">
        <f t="shared" si="18"/>
        <v>1040.1199999999999</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1567" t="s">
        <v>3424</v>
      </c>
      <c r="D33" s="1622" t="s">
        <v>3401</v>
      </c>
      <c r="E33" s="32">
        <f t="shared" si="7"/>
        <v>3493.45</v>
      </c>
      <c r="F33" s="33"/>
      <c r="G33" s="34">
        <f t="shared" si="8"/>
        <v>6810.4500000000007</v>
      </c>
      <c r="H33" s="35">
        <f t="shared" si="9"/>
        <v>6810.4500000000007</v>
      </c>
      <c r="I33" s="36">
        <v>5330.64</v>
      </c>
      <c r="J33" s="1623">
        <f>未售清单!I23</f>
        <v>2039.630000000001</v>
      </c>
      <c r="K33" s="36">
        <v>1479.81</v>
      </c>
      <c r="L33" s="1623">
        <f>未售清单!J23</f>
        <v>228.80999999999949</v>
      </c>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t="str">
        <f t="shared" si="13"/>
        <v>24#住宅楼</v>
      </c>
      <c r="AY33" s="39">
        <f t="shared" si="14"/>
        <v>2329.85</v>
      </c>
      <c r="AZ33" s="32">
        <f t="shared" si="15"/>
        <v>4542.01</v>
      </c>
      <c r="BA33" s="32">
        <f t="shared" si="16"/>
        <v>4542.01</v>
      </c>
      <c r="BB33" s="32">
        <f t="shared" si="17"/>
        <v>3291.0099999999993</v>
      </c>
      <c r="BC33" s="32">
        <f t="shared" si="18"/>
        <v>1251.0000000000005</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1567" t="s">
        <v>3425</v>
      </c>
      <c r="D34" s="1622" t="s">
        <v>3401</v>
      </c>
      <c r="E34" s="32">
        <f t="shared" si="7"/>
        <v>3406.81</v>
      </c>
      <c r="F34" s="33"/>
      <c r="G34" s="34">
        <f t="shared" si="8"/>
        <v>6641.55</v>
      </c>
      <c r="H34" s="35">
        <f t="shared" si="9"/>
        <v>6641.55</v>
      </c>
      <c r="I34" s="36">
        <v>5331.18</v>
      </c>
      <c r="J34" s="1623">
        <f>未售清单!I24</f>
        <v>1559.96</v>
      </c>
      <c r="K34" s="36">
        <v>1310.3699999999999</v>
      </c>
      <c r="L34" s="1623">
        <f>未售清单!J24</f>
        <v>228.19999999999936</v>
      </c>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t="str">
        <f t="shared" si="13"/>
        <v>25#住宅楼</v>
      </c>
      <c r="AY34" s="39">
        <f t="shared" si="14"/>
        <v>2489.5700000000002</v>
      </c>
      <c r="AZ34" s="32">
        <f t="shared" si="15"/>
        <v>4853.3900000000012</v>
      </c>
      <c r="BA34" s="32">
        <f t="shared" si="16"/>
        <v>4853.3900000000012</v>
      </c>
      <c r="BB34" s="32">
        <f t="shared" si="17"/>
        <v>3771.2200000000003</v>
      </c>
      <c r="BC34" s="32">
        <f t="shared" si="18"/>
        <v>1082.1700000000005</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1567" t="s">
        <v>3426</v>
      </c>
      <c r="D35" s="1622" t="s">
        <v>3401</v>
      </c>
      <c r="E35" s="32">
        <f t="shared" si="7"/>
        <v>3483.76</v>
      </c>
      <c r="F35" s="33"/>
      <c r="G35" s="34">
        <f t="shared" si="8"/>
        <v>6791.5599999999995</v>
      </c>
      <c r="H35" s="35">
        <f t="shared" si="9"/>
        <v>6791.5599999999995</v>
      </c>
      <c r="I35" s="36">
        <v>5290.7</v>
      </c>
      <c r="J35" s="1623">
        <f>未售清单!I25</f>
        <v>1766.2600000000002</v>
      </c>
      <c r="K35" s="36">
        <v>1500.86</v>
      </c>
      <c r="L35" s="1623">
        <f>未售清单!J25</f>
        <v>391.85000000000014</v>
      </c>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t="str">
        <f t="shared" si="13"/>
        <v>26#住宅楼</v>
      </c>
      <c r="AY35" s="39">
        <f t="shared" si="14"/>
        <v>2376.75</v>
      </c>
      <c r="AZ35" s="32">
        <f t="shared" si="15"/>
        <v>4633.4499999999989</v>
      </c>
      <c r="BA35" s="32">
        <f t="shared" si="16"/>
        <v>4633.4499999999989</v>
      </c>
      <c r="BB35" s="32">
        <f t="shared" si="17"/>
        <v>3524.4399999999996</v>
      </c>
      <c r="BC35" s="32">
        <f t="shared" si="18"/>
        <v>1109.0099999999998</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1567" t="s">
        <v>3427</v>
      </c>
      <c r="D36" s="1622" t="s">
        <v>3401</v>
      </c>
      <c r="E36" s="32">
        <f t="shared" si="7"/>
        <v>3453.17</v>
      </c>
      <c r="F36" s="33"/>
      <c r="G36" s="34">
        <f t="shared" si="8"/>
        <v>6731.93</v>
      </c>
      <c r="H36" s="35">
        <f t="shared" si="9"/>
        <v>6731.93</v>
      </c>
      <c r="I36" s="36">
        <v>5290.88</v>
      </c>
      <c r="J36" s="1623">
        <f>未售清单!I26</f>
        <v>677.75999999999931</v>
      </c>
      <c r="K36" s="36">
        <v>1441.05</v>
      </c>
      <c r="L36" s="1623">
        <f>未售清单!J26</f>
        <v>0</v>
      </c>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t="str">
        <f t="shared" si="13"/>
        <v>27#住宅楼</v>
      </c>
      <c r="AY36" s="39">
        <f t="shared" si="14"/>
        <v>3105.51</v>
      </c>
      <c r="AZ36" s="32">
        <f t="shared" si="15"/>
        <v>6054.170000000001</v>
      </c>
      <c r="BA36" s="32">
        <f t="shared" si="16"/>
        <v>6054.170000000001</v>
      </c>
      <c r="BB36" s="32">
        <f t="shared" si="17"/>
        <v>4613.1200000000008</v>
      </c>
      <c r="BC36" s="32">
        <f t="shared" si="18"/>
        <v>1441.05</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ht="28.5">
      <c r="A37" s="3440" t="s">
        <v>3429</v>
      </c>
      <c r="B37" s="31">
        <v>709</v>
      </c>
      <c r="C37" s="31" t="s">
        <v>3428</v>
      </c>
      <c r="D37" s="1622" t="s">
        <v>3401</v>
      </c>
      <c r="E37" s="32">
        <f t="shared" si="7"/>
        <v>13635.19</v>
      </c>
      <c r="F37" s="33"/>
      <c r="G37" s="34">
        <f t="shared" si="8"/>
        <v>26581.66</v>
      </c>
      <c r="H37" s="35">
        <f t="shared" si="9"/>
        <v>26581.66</v>
      </c>
      <c r="I37" s="36"/>
      <c r="J37" s="36"/>
      <c r="K37" s="36"/>
      <c r="L37" s="36"/>
      <c r="M37" s="36">
        <v>26581.66</v>
      </c>
      <c r="N37" s="36">
        <f>未售清单!K27</f>
        <v>4820.3300000001764</v>
      </c>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t="str">
        <f t="shared" si="11"/>
        <v>车位个数</v>
      </c>
      <c r="AW37" s="1340">
        <f t="shared" si="12"/>
        <v>709</v>
      </c>
      <c r="AX37" s="1340" t="str">
        <f t="shared" si="13"/>
        <v>1#地下车库</v>
      </c>
      <c r="AY37" s="39">
        <f t="shared" si="14"/>
        <v>11162.58</v>
      </c>
      <c r="AZ37" s="32">
        <f t="shared" si="15"/>
        <v>21761.329999999823</v>
      </c>
      <c r="BA37" s="32">
        <f t="shared" si="16"/>
        <v>21761.329999999823</v>
      </c>
      <c r="BB37" s="32">
        <f t="shared" si="17"/>
        <v>0</v>
      </c>
      <c r="BC37" s="32">
        <f t="shared" si="18"/>
        <v>0</v>
      </c>
      <c r="BD37" s="32">
        <f t="shared" si="19"/>
        <v>21761.329999999823</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B1517"/>
  <sheetViews>
    <sheetView workbookViewId="0">
      <pane xSplit="6" ySplit="27" topLeftCell="G1446" activePane="bottomRight" state="frozen"/>
      <selection pane="topRight" activeCell="G1" sqref="G1"/>
      <selection pane="bottomLeft" activeCell="A28" sqref="A28"/>
      <selection pane="bottomRight" activeCell="F1517" sqref="F1517"/>
    </sheetView>
  </sheetViews>
  <sheetFormatPr defaultRowHeight="13.5"/>
  <cols>
    <col min="5" max="5" width="11" customWidth="1"/>
    <col min="6" max="6" width="11.625" customWidth="1"/>
    <col min="8" max="8" width="11.25" customWidth="1"/>
  </cols>
  <sheetData>
    <row r="1" spans="1:11">
      <c r="B1" s="3544" t="s">
        <v>3490</v>
      </c>
      <c r="C1" s="3544"/>
      <c r="D1" s="3544"/>
      <c r="E1" s="3442"/>
      <c r="F1" s="3544" t="s">
        <v>3491</v>
      </c>
      <c r="G1" s="3544"/>
      <c r="H1" s="3544"/>
      <c r="I1" s="3544" t="s">
        <v>3492</v>
      </c>
      <c r="J1" s="3544"/>
      <c r="K1" s="3544"/>
    </row>
    <row r="2" spans="1:11">
      <c r="A2" s="3441" t="s">
        <v>3486</v>
      </c>
      <c r="B2" s="3441" t="s">
        <v>3487</v>
      </c>
      <c r="C2" s="3441" t="s">
        <v>3488</v>
      </c>
      <c r="D2" s="3441" t="s">
        <v>3489</v>
      </c>
      <c r="E2" s="3441" t="s">
        <v>3493</v>
      </c>
      <c r="F2" s="3441" t="s">
        <v>3487</v>
      </c>
      <c r="G2" s="3441" t="s">
        <v>3488</v>
      </c>
      <c r="H2" s="3441" t="s">
        <v>3493</v>
      </c>
      <c r="I2" s="3441" t="s">
        <v>3487</v>
      </c>
      <c r="J2" s="3441" t="s">
        <v>3488</v>
      </c>
      <c r="K2" s="3441" t="s">
        <v>3493</v>
      </c>
    </row>
    <row r="3" spans="1:11">
      <c r="A3" t="s">
        <v>3461</v>
      </c>
      <c r="B3">
        <f>M45+M46+M49+M50+M55+M56+M61+M62+M63+M64+M72+M73+M82+M83+M92+M93</f>
        <v>2937.9800000000009</v>
      </c>
      <c r="C3">
        <f>SUM(T63:T72)+T82+T90+T101+SUM(T103:T109)+SUM(T115:T119)</f>
        <v>758.52</v>
      </c>
      <c r="E3">
        <f>C3+B3</f>
        <v>3696.5000000000009</v>
      </c>
      <c r="F3">
        <f>'数据-基础表'!I13</f>
        <v>2937.98</v>
      </c>
      <c r="G3">
        <f>'数据-基础表'!K13</f>
        <v>758.52</v>
      </c>
      <c r="H3">
        <f>'数据-基础表'!G13</f>
        <v>3696.5</v>
      </c>
      <c r="I3">
        <f>F3-B3</f>
        <v>0</v>
      </c>
      <c r="J3">
        <f>G3-C3</f>
        <v>0</v>
      </c>
      <c r="K3">
        <f t="shared" ref="K3:K27" si="0">H3-E3</f>
        <v>0</v>
      </c>
    </row>
    <row r="4" spans="1:11">
      <c r="A4" t="s">
        <v>3462</v>
      </c>
      <c r="B4">
        <f>M163+M164+M168+M173+M180+M181+M182+M191+M197+M198+M199+M200+M201+M202+M203+M204+M205+M206+M207</f>
        <v>3463.3999999999987</v>
      </c>
      <c r="C4">
        <f>SUM(T286:T295)+T300+T311+SUM(T320:T327)+SUM(T333:T348)</f>
        <v>1117.8699999999999</v>
      </c>
      <c r="E4">
        <f t="shared" ref="E4:E26" si="1">C4+B4</f>
        <v>4581.2699999999986</v>
      </c>
      <c r="F4">
        <f>'数据-基础表'!I14</f>
        <v>4393.91</v>
      </c>
      <c r="G4">
        <f>'数据-基础表'!K14</f>
        <v>1117.8699999999999</v>
      </c>
      <c r="H4">
        <f>'数据-基础表'!G14</f>
        <v>5511.78</v>
      </c>
      <c r="I4">
        <f t="shared" ref="I4:I26" si="2">F4-B4</f>
        <v>930.51000000000113</v>
      </c>
      <c r="J4">
        <f t="shared" ref="J4:J26" si="3">G4-C4</f>
        <v>0</v>
      </c>
      <c r="K4">
        <f t="shared" si="0"/>
        <v>930.51000000000113</v>
      </c>
    </row>
    <row r="5" spans="1:11">
      <c r="A5" t="s">
        <v>3463</v>
      </c>
      <c r="B5">
        <f>SUM(M277:M287)</f>
        <v>1998.57</v>
      </c>
      <c r="C5">
        <f>SUM(T509:T538)</f>
        <v>926.00999999999976</v>
      </c>
      <c r="E5">
        <f t="shared" si="1"/>
        <v>2924.58</v>
      </c>
      <c r="F5">
        <f>'数据-基础表'!I15</f>
        <v>4413.4399999999996</v>
      </c>
      <c r="G5">
        <f>'数据-基础表'!K15</f>
        <v>1116.22</v>
      </c>
      <c r="H5">
        <f>'数据-基础表'!G15</f>
        <v>5529.66</v>
      </c>
      <c r="I5">
        <f t="shared" si="2"/>
        <v>2414.87</v>
      </c>
      <c r="J5">
        <f t="shared" si="3"/>
        <v>190.21000000000026</v>
      </c>
      <c r="K5">
        <f t="shared" si="0"/>
        <v>2605.08</v>
      </c>
    </row>
    <row r="6" spans="1:11">
      <c r="A6" t="s">
        <v>3464</v>
      </c>
      <c r="B6">
        <f>SUM(M288:M295)</f>
        <v>1474.64</v>
      </c>
      <c r="C6">
        <f>SUM(T539:T562)</f>
        <v>744.04999999999984</v>
      </c>
      <c r="E6">
        <f t="shared" si="1"/>
        <v>2218.69</v>
      </c>
      <c r="F6">
        <f>'数据-基础表'!I16</f>
        <v>2950.94</v>
      </c>
      <c r="G6">
        <f>'数据-基础表'!K16</f>
        <v>744.05</v>
      </c>
      <c r="H6">
        <f>'数据-基础表'!G16</f>
        <v>3694.99</v>
      </c>
      <c r="I6">
        <f t="shared" si="2"/>
        <v>1476.3</v>
      </c>
      <c r="J6">
        <f t="shared" si="3"/>
        <v>0</v>
      </c>
      <c r="K6">
        <f t="shared" si="0"/>
        <v>1476.2999999999997</v>
      </c>
    </row>
    <row r="7" spans="1:11">
      <c r="A7" t="s">
        <v>3465</v>
      </c>
      <c r="B7">
        <f>SUM(M296:M302)</f>
        <v>1277.7700000000002</v>
      </c>
      <c r="C7">
        <f>SUM(T563:T577)</f>
        <v>429.53</v>
      </c>
      <c r="E7">
        <f t="shared" si="1"/>
        <v>1707.3000000000002</v>
      </c>
      <c r="F7">
        <f>'数据-基础表'!I17</f>
        <v>1462.73</v>
      </c>
      <c r="G7">
        <f>'数据-基础表'!K17</f>
        <v>429.53</v>
      </c>
      <c r="H7">
        <f>'数据-基础表'!G17</f>
        <v>1892.26</v>
      </c>
      <c r="I7">
        <f t="shared" si="2"/>
        <v>184.95999999999981</v>
      </c>
      <c r="J7">
        <f t="shared" si="3"/>
        <v>0</v>
      </c>
      <c r="K7">
        <f t="shared" si="0"/>
        <v>184.95999999999981</v>
      </c>
    </row>
    <row r="8" spans="1:11">
      <c r="A8" t="s">
        <v>3466</v>
      </c>
      <c r="B8">
        <f>SUM(M303:M305)</f>
        <v>577.6</v>
      </c>
      <c r="C8">
        <f>SUM(T578:T586)</f>
        <v>261.49</v>
      </c>
      <c r="E8">
        <f t="shared" si="1"/>
        <v>839.09</v>
      </c>
      <c r="F8">
        <f>'数据-基础表'!I18</f>
        <v>1523.06</v>
      </c>
      <c r="G8">
        <f>'数据-基础表'!K18</f>
        <v>398.57</v>
      </c>
      <c r="H8">
        <f>'数据-基础表'!G18</f>
        <v>1921.6299999999999</v>
      </c>
      <c r="I8">
        <f t="shared" si="2"/>
        <v>945.45999999999992</v>
      </c>
      <c r="J8">
        <f t="shared" si="3"/>
        <v>137.07999999999998</v>
      </c>
      <c r="K8">
        <f t="shared" si="0"/>
        <v>1082.54</v>
      </c>
    </row>
    <row r="9" spans="1:11">
      <c r="A9" t="s">
        <v>3467</v>
      </c>
      <c r="B9">
        <f>SUM(M306:M315)</f>
        <v>1796.1900000000003</v>
      </c>
      <c r="C9">
        <f>SUM(T587:T622)</f>
        <v>1110.27</v>
      </c>
      <c r="E9">
        <f t="shared" si="1"/>
        <v>2906.46</v>
      </c>
      <c r="F9">
        <f>'数据-基础表'!I19</f>
        <v>4411.7</v>
      </c>
      <c r="G9">
        <f>'数据-基础表'!K19</f>
        <v>1110.27</v>
      </c>
      <c r="H9">
        <f>'数据-基础表'!G19</f>
        <v>5521.9699999999993</v>
      </c>
      <c r="I9">
        <f t="shared" si="2"/>
        <v>2615.5099999999993</v>
      </c>
      <c r="J9">
        <f t="shared" si="3"/>
        <v>0</v>
      </c>
      <c r="K9">
        <f t="shared" si="0"/>
        <v>2615.5099999999993</v>
      </c>
    </row>
    <row r="10" spans="1:11">
      <c r="A10" t="s">
        <v>3468</v>
      </c>
      <c r="B10">
        <f>SUM(M316:M328)</f>
        <v>2386.36</v>
      </c>
      <c r="C10">
        <f>SUM(T623:T646)</f>
        <v>746.98000000000013</v>
      </c>
      <c r="E10">
        <f t="shared" si="1"/>
        <v>3133.34</v>
      </c>
      <c r="F10">
        <f>'数据-基础表'!I20</f>
        <v>2940.24</v>
      </c>
      <c r="G10">
        <f>'数据-基础表'!K20</f>
        <v>746.98</v>
      </c>
      <c r="H10">
        <f>'数据-基础表'!G20</f>
        <v>3687.22</v>
      </c>
      <c r="I10">
        <f t="shared" si="2"/>
        <v>553.87999999999965</v>
      </c>
      <c r="J10">
        <f t="shared" si="3"/>
        <v>0</v>
      </c>
      <c r="K10">
        <f t="shared" si="0"/>
        <v>553.87999999999965</v>
      </c>
    </row>
    <row r="11" spans="1:11">
      <c r="A11" t="s">
        <v>3469</v>
      </c>
      <c r="B11">
        <f>SUM(M39:M44)</f>
        <v>1070.33</v>
      </c>
      <c r="C11">
        <f>SUM(T39:T62)</f>
        <v>746.61</v>
      </c>
      <c r="E11">
        <f t="shared" si="1"/>
        <v>1816.94</v>
      </c>
      <c r="F11">
        <f>'数据-基础表'!I21</f>
        <v>2939.91</v>
      </c>
      <c r="G11">
        <f>'数据-基础表'!K21</f>
        <v>746.61</v>
      </c>
      <c r="H11">
        <f>'数据-基础表'!G21</f>
        <v>3686.52</v>
      </c>
      <c r="I11">
        <f t="shared" si="2"/>
        <v>1869.58</v>
      </c>
      <c r="J11">
        <f t="shared" si="3"/>
        <v>0</v>
      </c>
      <c r="K11">
        <f t="shared" si="0"/>
        <v>1869.58</v>
      </c>
    </row>
    <row r="12" spans="1:11">
      <c r="A12" t="s">
        <v>3470</v>
      </c>
      <c r="B12">
        <f>M47+M48+M51+M52+M53+M54+M57+M58+M59+M60</f>
        <v>1804.76</v>
      </c>
      <c r="C12">
        <f>SUM(T73:T81)+SUM(T83:T89)+SUM(T91:T100)+T102+SUM(T110:T114)</f>
        <v>973.21</v>
      </c>
      <c r="E12">
        <f t="shared" si="1"/>
        <v>2777.9700000000003</v>
      </c>
      <c r="F12">
        <f>'数据-基础表'!I22</f>
        <v>4412.8999999999996</v>
      </c>
      <c r="G12">
        <f>'数据-基础表'!K22</f>
        <v>1111.27</v>
      </c>
      <c r="H12">
        <f>'数据-基础表'!G22</f>
        <v>5524.17</v>
      </c>
      <c r="I12">
        <f t="shared" si="2"/>
        <v>2608.1399999999994</v>
      </c>
      <c r="J12">
        <f t="shared" si="3"/>
        <v>138.05999999999995</v>
      </c>
      <c r="K12">
        <f t="shared" si="0"/>
        <v>2746.2</v>
      </c>
    </row>
    <row r="13" spans="1:11">
      <c r="A13" t="s">
        <v>3471</v>
      </c>
      <c r="B13">
        <f>M65+M66+M67+M68+M69+M70+M71+M74+M75+M76+M77+M78+M79+M80+M81+M84+M85+M86+M87+M88+M89+M90+M91</f>
        <v>5080.41</v>
      </c>
      <c r="C13">
        <f>SUM(T120:T146)</f>
        <v>1044.8100000000002</v>
      </c>
      <c r="E13">
        <f t="shared" si="1"/>
        <v>6125.22</v>
      </c>
      <c r="F13">
        <f>'数据-基础表'!I23</f>
        <v>5299.94</v>
      </c>
      <c r="G13">
        <f>'数据-基础表'!K23</f>
        <v>1276.58</v>
      </c>
      <c r="H13">
        <f>'数据-基础表'!G23</f>
        <v>6576.5199999999995</v>
      </c>
      <c r="I13">
        <f t="shared" si="2"/>
        <v>219.52999999999975</v>
      </c>
      <c r="J13">
        <f t="shared" si="3"/>
        <v>231.76999999999975</v>
      </c>
      <c r="K13">
        <f t="shared" si="0"/>
        <v>451.29999999999927</v>
      </c>
    </row>
    <row r="14" spans="1:11">
      <c r="A14" t="s">
        <v>3472</v>
      </c>
      <c r="B14">
        <f>SUM(M94:M107)</f>
        <v>3813.08</v>
      </c>
      <c r="C14">
        <f>SUM(T147:T170)</f>
        <v>1016.3299999999997</v>
      </c>
      <c r="E14">
        <f t="shared" si="1"/>
        <v>4829.41</v>
      </c>
      <c r="F14">
        <f>'数据-基础表'!I24</f>
        <v>4359.18</v>
      </c>
      <c r="G14">
        <f>'数据-基础表'!K24</f>
        <v>1016.33</v>
      </c>
      <c r="H14">
        <f>'数据-基础表'!G24</f>
        <v>5375.51</v>
      </c>
      <c r="I14">
        <f t="shared" si="2"/>
        <v>546.10000000000036</v>
      </c>
      <c r="J14">
        <f t="shared" si="3"/>
        <v>0</v>
      </c>
      <c r="K14">
        <f t="shared" si="0"/>
        <v>546.10000000000036</v>
      </c>
    </row>
    <row r="15" spans="1:11">
      <c r="A15" t="s">
        <v>3473</v>
      </c>
      <c r="B15">
        <f>SUM(M108:M114)</f>
        <v>1604.5899999999997</v>
      </c>
      <c r="C15">
        <f>SUM(T171:T178)</f>
        <v>272.59999999999997</v>
      </c>
      <c r="E15">
        <f t="shared" si="1"/>
        <v>1877.1899999999996</v>
      </c>
      <c r="F15">
        <f>'数据-基础表'!I25</f>
        <v>1824.32</v>
      </c>
      <c r="G15">
        <f>'数据-基础表'!K25</f>
        <v>500.37</v>
      </c>
      <c r="H15">
        <f>'数据-基础表'!G25</f>
        <v>2324.69</v>
      </c>
      <c r="I15">
        <f t="shared" si="2"/>
        <v>219.73000000000025</v>
      </c>
      <c r="J15">
        <f t="shared" si="3"/>
        <v>227.77000000000004</v>
      </c>
      <c r="K15">
        <f t="shared" si="0"/>
        <v>447.50000000000045</v>
      </c>
    </row>
    <row r="16" spans="1:11">
      <c r="A16" t="s">
        <v>3474</v>
      </c>
      <c r="B16">
        <f>SUM(M115:M120)</f>
        <v>1637.1799999999998</v>
      </c>
      <c r="C16">
        <f>SUM(T179:T184)</f>
        <v>250.20999999999998</v>
      </c>
      <c r="E16">
        <f t="shared" si="1"/>
        <v>1887.3899999999999</v>
      </c>
      <c r="F16">
        <f>'数据-基础表'!I26</f>
        <v>2182.8000000000002</v>
      </c>
      <c r="G16">
        <f>'数据-基础表'!K26</f>
        <v>514.9</v>
      </c>
      <c r="H16">
        <f>'数据-基础表'!G26</f>
        <v>2697.7000000000003</v>
      </c>
      <c r="I16">
        <f t="shared" si="2"/>
        <v>545.62000000000035</v>
      </c>
      <c r="J16">
        <f t="shared" si="3"/>
        <v>264.69</v>
      </c>
      <c r="K16">
        <f t="shared" si="0"/>
        <v>810.3100000000004</v>
      </c>
    </row>
    <row r="17" spans="1:11">
      <c r="A17" t="s">
        <v>3475</v>
      </c>
      <c r="B17">
        <f>SUM(M121:M130)</f>
        <v>2724.4800000000005</v>
      </c>
      <c r="C17">
        <f>SUM(T185:T208)</f>
        <v>1008.13</v>
      </c>
      <c r="E17">
        <f t="shared" si="1"/>
        <v>3732.6100000000006</v>
      </c>
      <c r="F17">
        <f>'数据-基础表'!I27</f>
        <v>4357.32</v>
      </c>
      <c r="G17">
        <f>'数据-基础表'!K27</f>
        <v>1008.13</v>
      </c>
      <c r="H17">
        <f>'数据-基础表'!G27</f>
        <v>5365.45</v>
      </c>
      <c r="I17">
        <f t="shared" si="2"/>
        <v>1632.8399999999992</v>
      </c>
      <c r="J17">
        <f t="shared" si="3"/>
        <v>0</v>
      </c>
      <c r="K17">
        <f t="shared" si="0"/>
        <v>1632.8399999999992</v>
      </c>
    </row>
    <row r="18" spans="1:11">
      <c r="A18" t="s">
        <v>3476</v>
      </c>
      <c r="B18">
        <f>SUM(M131:M143)</f>
        <v>2413.58</v>
      </c>
      <c r="C18">
        <f>SUM(T209:T245)</f>
        <v>1021.9900000000002</v>
      </c>
      <c r="E18">
        <f t="shared" si="1"/>
        <v>3435.57</v>
      </c>
      <c r="F18">
        <f>'数据-基础表'!I28</f>
        <v>4442.43</v>
      </c>
      <c r="G18">
        <f>'数据-基础表'!K28</f>
        <v>1209.43</v>
      </c>
      <c r="H18">
        <f>'数据-基础表'!G28</f>
        <v>5651.8600000000006</v>
      </c>
      <c r="I18">
        <f t="shared" si="2"/>
        <v>2028.8500000000004</v>
      </c>
      <c r="J18">
        <f t="shared" si="3"/>
        <v>187.43999999999983</v>
      </c>
      <c r="K18">
        <f t="shared" si="0"/>
        <v>2216.2900000000004</v>
      </c>
    </row>
    <row r="19" spans="1:11">
      <c r="A19" t="s">
        <v>3477</v>
      </c>
      <c r="B19">
        <f>SUM(M144:M151)</f>
        <v>2176.48</v>
      </c>
      <c r="C19">
        <f>SUM(T246:T269)</f>
        <v>1018.1299999999998</v>
      </c>
      <c r="E19">
        <f t="shared" si="1"/>
        <v>3194.6099999999997</v>
      </c>
      <c r="F19">
        <f>'数据-基础表'!I29</f>
        <v>4357.8999999999996</v>
      </c>
      <c r="G19">
        <f>'数据-基础表'!K29</f>
        <v>1018.13</v>
      </c>
      <c r="H19">
        <f>'数据-基础表'!G29</f>
        <v>5376.03</v>
      </c>
      <c r="I19">
        <f t="shared" si="2"/>
        <v>2181.4199999999996</v>
      </c>
      <c r="J19">
        <f t="shared" si="3"/>
        <v>0</v>
      </c>
      <c r="K19">
        <f t="shared" si="0"/>
        <v>2181.42</v>
      </c>
    </row>
    <row r="20" spans="1:11">
      <c r="A20" t="s">
        <v>3478</v>
      </c>
      <c r="B20">
        <f>SUM(M152:M162)</f>
        <v>2451.87</v>
      </c>
      <c r="C20">
        <f>SUM(T270:T285)</f>
        <v>633.59</v>
      </c>
      <c r="E20">
        <f t="shared" si="1"/>
        <v>3085.46</v>
      </c>
      <c r="F20">
        <f>'数据-基础表'!I30</f>
        <v>3576.76</v>
      </c>
      <c r="G20">
        <f>'数据-基础表'!K30</f>
        <v>866.49</v>
      </c>
      <c r="H20">
        <f>'数据-基础表'!G30</f>
        <v>4443.25</v>
      </c>
      <c r="I20">
        <f t="shared" si="2"/>
        <v>1124.8900000000003</v>
      </c>
      <c r="J20">
        <f t="shared" si="3"/>
        <v>232.89999999999998</v>
      </c>
      <c r="K20">
        <f t="shared" si="0"/>
        <v>1357.79</v>
      </c>
    </row>
    <row r="21" spans="1:11">
      <c r="A21" t="s">
        <v>3479</v>
      </c>
      <c r="B21">
        <f>M165+M166+M167+M169+M170+M171+M172+M174+M175+M176+M177+M178+M179</f>
        <v>2865.3</v>
      </c>
      <c r="C21">
        <f>T296+T297+T298+T299+T301+T302+T303+T304+T305+T306+T307+T308+T309+T310+T312+T313+T314+T315+T316+T317+T318+T319+T328+T329+T330+T331+T332</f>
        <v>1048.6399999999999</v>
      </c>
      <c r="E21">
        <f t="shared" si="1"/>
        <v>3913.94</v>
      </c>
      <c r="F21">
        <f>'数据-基础表'!I31</f>
        <v>5330.19</v>
      </c>
      <c r="G21">
        <f>'数据-基础表'!K31</f>
        <v>1279.33</v>
      </c>
      <c r="H21">
        <f>'数据-基础表'!G31</f>
        <v>6609.5199999999995</v>
      </c>
      <c r="I21">
        <f t="shared" si="2"/>
        <v>2464.8899999999994</v>
      </c>
      <c r="J21">
        <f t="shared" si="3"/>
        <v>230.69000000000005</v>
      </c>
      <c r="K21">
        <f t="shared" si="0"/>
        <v>2695.5799999999995</v>
      </c>
    </row>
    <row r="22" spans="1:11">
      <c r="A22" t="s">
        <v>3480</v>
      </c>
      <c r="B22">
        <f>M183+M184+M185+M186+M187+M188+M189+M190+M192+M193+M194+M195+M196</f>
        <v>3539.2700000000004</v>
      </c>
      <c r="C22">
        <f>SUM(T349:T372)</f>
        <v>1040.1200000000003</v>
      </c>
      <c r="E22">
        <f t="shared" si="1"/>
        <v>4579.3900000000012</v>
      </c>
      <c r="F22">
        <f>'数据-基础表'!I32</f>
        <v>4358.24</v>
      </c>
      <c r="G22">
        <f>'数据-基础表'!K32</f>
        <v>1040.1199999999999</v>
      </c>
      <c r="H22">
        <f>'数据-基础表'!G32</f>
        <v>5398.36</v>
      </c>
      <c r="I22">
        <f t="shared" si="2"/>
        <v>818.96999999999935</v>
      </c>
      <c r="J22">
        <f t="shared" si="3"/>
        <v>0</v>
      </c>
      <c r="K22">
        <f t="shared" si="0"/>
        <v>818.96999999999844</v>
      </c>
    </row>
    <row r="23" spans="1:11">
      <c r="A23" t="s">
        <v>3481</v>
      </c>
      <c r="B23">
        <f>SUM(M208:M222)</f>
        <v>3291.0099999999993</v>
      </c>
      <c r="C23">
        <f>SUM(T373:T407)</f>
        <v>1251.0000000000005</v>
      </c>
      <c r="E23">
        <f t="shared" si="1"/>
        <v>4542.01</v>
      </c>
      <c r="F23">
        <f>'数据-基础表'!I33</f>
        <v>5330.64</v>
      </c>
      <c r="G23">
        <f>'数据-基础表'!K33</f>
        <v>1479.81</v>
      </c>
      <c r="H23">
        <f>'数据-基础表'!G33</f>
        <v>6810.4500000000007</v>
      </c>
      <c r="I23">
        <f t="shared" si="2"/>
        <v>2039.630000000001</v>
      </c>
      <c r="J23">
        <f t="shared" si="3"/>
        <v>228.80999999999949</v>
      </c>
      <c r="K23">
        <f t="shared" si="0"/>
        <v>2268.4400000000005</v>
      </c>
    </row>
    <row r="24" spans="1:11">
      <c r="A24" t="s">
        <v>3482</v>
      </c>
      <c r="B24">
        <f>SUM(M223:M239)</f>
        <v>3771.2200000000003</v>
      </c>
      <c r="C24">
        <f>SUM(T408:T436)</f>
        <v>1082.1700000000005</v>
      </c>
      <c r="E24">
        <f t="shared" si="1"/>
        <v>4853.3900000000012</v>
      </c>
      <c r="F24">
        <f>'数据-基础表'!I34</f>
        <v>5331.18</v>
      </c>
      <c r="G24">
        <f>'数据-基础表'!K34</f>
        <v>1310.3699999999999</v>
      </c>
      <c r="H24">
        <f>'数据-基础表'!G34</f>
        <v>6641.55</v>
      </c>
      <c r="I24">
        <f t="shared" si="2"/>
        <v>1559.96</v>
      </c>
      <c r="J24">
        <f t="shared" si="3"/>
        <v>228.19999999999936</v>
      </c>
      <c r="K24">
        <f t="shared" si="0"/>
        <v>1788.1599999999989</v>
      </c>
    </row>
    <row r="25" spans="1:11">
      <c r="A25" t="s">
        <v>3483</v>
      </c>
      <c r="B25">
        <f>SUM(M240:M255)</f>
        <v>3524.4399999999996</v>
      </c>
      <c r="C25">
        <f>SUM(T437:T469)</f>
        <v>1109.0099999999998</v>
      </c>
      <c r="E25">
        <f t="shared" si="1"/>
        <v>4633.4499999999989</v>
      </c>
      <c r="F25">
        <f>'数据-基础表'!I35</f>
        <v>5290.7</v>
      </c>
      <c r="G25">
        <f>'数据-基础表'!K35</f>
        <v>1500.86</v>
      </c>
      <c r="H25">
        <f>'数据-基础表'!G35</f>
        <v>6791.5599999999995</v>
      </c>
      <c r="I25">
        <f t="shared" si="2"/>
        <v>1766.2600000000002</v>
      </c>
      <c r="J25">
        <f t="shared" si="3"/>
        <v>391.85000000000014</v>
      </c>
      <c r="K25">
        <f t="shared" si="0"/>
        <v>2158.1100000000006</v>
      </c>
    </row>
    <row r="26" spans="1:11">
      <c r="A26" t="s">
        <v>3484</v>
      </c>
      <c r="B26">
        <f>SUM(M256:M276)</f>
        <v>4613.1200000000008</v>
      </c>
      <c r="C26">
        <f>SUM(T470:T508)</f>
        <v>1441.0499999999997</v>
      </c>
      <c r="E26">
        <f t="shared" si="1"/>
        <v>6054.17</v>
      </c>
      <c r="F26">
        <f>'数据-基础表'!I36</f>
        <v>5290.88</v>
      </c>
      <c r="G26">
        <f>'数据-基础表'!K36</f>
        <v>1441.05</v>
      </c>
      <c r="H26">
        <f>'数据-基础表'!G36</f>
        <v>6731.93</v>
      </c>
      <c r="I26">
        <f t="shared" si="2"/>
        <v>677.75999999999931</v>
      </c>
      <c r="J26">
        <f t="shared" si="3"/>
        <v>0</v>
      </c>
      <c r="K26">
        <f t="shared" si="0"/>
        <v>677.76000000000022</v>
      </c>
    </row>
    <row r="27" spans="1:11">
      <c r="A27" t="s">
        <v>3485</v>
      </c>
      <c r="D27">
        <f>AA619</f>
        <v>21761.329999999823</v>
      </c>
      <c r="E27">
        <f>D27</f>
        <v>21761.329999999823</v>
      </c>
      <c r="H27">
        <f>'数据-基础表'!M5</f>
        <v>26581.66</v>
      </c>
      <c r="K27">
        <f t="shared" si="0"/>
        <v>4820.3300000001764</v>
      </c>
    </row>
    <row r="28" spans="1:11">
      <c r="A28" s="3441" t="s">
        <v>3494</v>
      </c>
      <c r="B28">
        <f>SUM(B3:B27)</f>
        <v>62293.630000000019</v>
      </c>
      <c r="C28">
        <f>SUM(C3:C27)</f>
        <v>21052.32</v>
      </c>
      <c r="D28">
        <f>SUM(D3:D27)</f>
        <v>21761.329999999823</v>
      </c>
      <c r="E28">
        <f>SUM(E3:E27)</f>
        <v>105107.27999999982</v>
      </c>
      <c r="H28">
        <f>SUM(H3:H27)</f>
        <v>144042.74</v>
      </c>
      <c r="K28">
        <f>SUM(K3:K27)</f>
        <v>38935.460000000174</v>
      </c>
    </row>
    <row r="38" spans="1:28">
      <c r="A38" t="s">
        <v>3430</v>
      </c>
      <c r="B38" t="s">
        <v>3431</v>
      </c>
      <c r="C38" t="s">
        <v>3432</v>
      </c>
      <c r="D38" t="s">
        <v>3433</v>
      </c>
      <c r="F38" t="s">
        <v>3434</v>
      </c>
      <c r="G38" t="s">
        <v>3435</v>
      </c>
      <c r="I38" t="s">
        <v>3430</v>
      </c>
      <c r="J38" t="s">
        <v>3431</v>
      </c>
      <c r="K38" t="s">
        <v>3432</v>
      </c>
      <c r="L38" t="s">
        <v>3433</v>
      </c>
      <c r="M38" t="s">
        <v>3434</v>
      </c>
      <c r="N38" t="s">
        <v>3435</v>
      </c>
      <c r="P38" t="s">
        <v>3430</v>
      </c>
      <c r="Q38" t="s">
        <v>3431</v>
      </c>
      <c r="R38" t="s">
        <v>3432</v>
      </c>
      <c r="S38" t="s">
        <v>3433</v>
      </c>
      <c r="T38" t="s">
        <v>3434</v>
      </c>
      <c r="U38" t="s">
        <v>3435</v>
      </c>
      <c r="W38" t="s">
        <v>3430</v>
      </c>
      <c r="X38" t="s">
        <v>3431</v>
      </c>
      <c r="Y38" t="s">
        <v>3432</v>
      </c>
      <c r="Z38" t="s">
        <v>3433</v>
      </c>
      <c r="AA38" t="s">
        <v>3434</v>
      </c>
      <c r="AB38" t="s">
        <v>3435</v>
      </c>
    </row>
    <row r="39" spans="1:28">
      <c r="A39">
        <v>1</v>
      </c>
      <c r="B39" t="s">
        <v>3436</v>
      </c>
      <c r="C39" t="s">
        <v>3326</v>
      </c>
      <c r="D39">
        <v>-1001</v>
      </c>
      <c r="F39">
        <v>35.9</v>
      </c>
      <c r="G39" t="s">
        <v>3326</v>
      </c>
      <c r="I39">
        <v>1</v>
      </c>
      <c r="J39" t="s">
        <v>3437</v>
      </c>
      <c r="K39">
        <v>1</v>
      </c>
      <c r="L39">
        <v>101</v>
      </c>
      <c r="M39">
        <v>184.9</v>
      </c>
      <c r="N39" t="s">
        <v>3403</v>
      </c>
      <c r="P39">
        <v>1</v>
      </c>
      <c r="Q39" t="s">
        <v>3437</v>
      </c>
      <c r="R39" t="s">
        <v>3327</v>
      </c>
      <c r="S39">
        <v>-101</v>
      </c>
      <c r="T39">
        <v>27.99</v>
      </c>
      <c r="U39" t="s">
        <v>3327</v>
      </c>
      <c r="W39">
        <v>1</v>
      </c>
      <c r="X39" t="s">
        <v>3436</v>
      </c>
      <c r="Y39" t="s">
        <v>3326</v>
      </c>
      <c r="Z39">
        <v>-1001</v>
      </c>
      <c r="AA39">
        <v>35.9</v>
      </c>
      <c r="AB39" t="s">
        <v>3326</v>
      </c>
    </row>
    <row r="40" spans="1:28">
      <c r="A40">
        <v>2</v>
      </c>
      <c r="B40" t="s">
        <v>3436</v>
      </c>
      <c r="C40" t="s">
        <v>3326</v>
      </c>
      <c r="D40">
        <v>-1002</v>
      </c>
      <c r="F40">
        <v>35.9</v>
      </c>
      <c r="G40" t="s">
        <v>3326</v>
      </c>
      <c r="I40">
        <v>2</v>
      </c>
      <c r="J40" t="s">
        <v>3437</v>
      </c>
      <c r="K40">
        <v>1</v>
      </c>
      <c r="L40">
        <v>102</v>
      </c>
      <c r="M40">
        <v>161.79</v>
      </c>
      <c r="N40" t="s">
        <v>3403</v>
      </c>
      <c r="P40">
        <v>2</v>
      </c>
      <c r="Q40" t="s">
        <v>3437</v>
      </c>
      <c r="R40" t="s">
        <v>3327</v>
      </c>
      <c r="S40">
        <v>-102</v>
      </c>
      <c r="T40">
        <v>22.8</v>
      </c>
      <c r="U40" t="s">
        <v>3327</v>
      </c>
      <c r="W40">
        <v>2</v>
      </c>
      <c r="X40" t="s">
        <v>3436</v>
      </c>
      <c r="Y40" t="s">
        <v>3326</v>
      </c>
      <c r="Z40">
        <v>-1002</v>
      </c>
      <c r="AA40">
        <v>35.9</v>
      </c>
      <c r="AB40" t="s">
        <v>3326</v>
      </c>
    </row>
    <row r="41" spans="1:28">
      <c r="A41">
        <v>3</v>
      </c>
      <c r="B41" t="s">
        <v>3436</v>
      </c>
      <c r="C41" t="s">
        <v>3326</v>
      </c>
      <c r="D41">
        <v>-1003</v>
      </c>
      <c r="F41">
        <v>35.9</v>
      </c>
      <c r="G41" t="s">
        <v>3326</v>
      </c>
      <c r="I41">
        <v>3</v>
      </c>
      <c r="J41" t="s">
        <v>3437</v>
      </c>
      <c r="K41">
        <v>1</v>
      </c>
      <c r="L41">
        <v>301</v>
      </c>
      <c r="M41">
        <v>184.94</v>
      </c>
      <c r="N41" t="s">
        <v>3403</v>
      </c>
      <c r="P41">
        <v>3</v>
      </c>
      <c r="Q41" t="s">
        <v>3437</v>
      </c>
      <c r="R41" t="s">
        <v>3327</v>
      </c>
      <c r="S41">
        <v>-103</v>
      </c>
      <c r="T41">
        <v>47.99</v>
      </c>
      <c r="U41" t="s">
        <v>3327</v>
      </c>
      <c r="W41">
        <v>3</v>
      </c>
      <c r="X41" t="s">
        <v>3436</v>
      </c>
      <c r="Y41" t="s">
        <v>3326</v>
      </c>
      <c r="Z41">
        <v>-1003</v>
      </c>
      <c r="AA41">
        <v>35.9</v>
      </c>
      <c r="AB41" t="s">
        <v>3326</v>
      </c>
    </row>
    <row r="42" spans="1:28">
      <c r="A42">
        <v>4</v>
      </c>
      <c r="B42" t="s">
        <v>3436</v>
      </c>
      <c r="C42" t="s">
        <v>3326</v>
      </c>
      <c r="D42">
        <v>-1004</v>
      </c>
      <c r="F42">
        <v>35.9</v>
      </c>
      <c r="G42" t="s">
        <v>3326</v>
      </c>
      <c r="I42">
        <v>4</v>
      </c>
      <c r="J42" t="s">
        <v>3437</v>
      </c>
      <c r="K42">
        <v>2</v>
      </c>
      <c r="L42">
        <v>101</v>
      </c>
      <c r="M42">
        <v>161.79</v>
      </c>
      <c r="N42" t="s">
        <v>3403</v>
      </c>
      <c r="P42">
        <v>4</v>
      </c>
      <c r="Q42" t="s">
        <v>3437</v>
      </c>
      <c r="R42" t="s">
        <v>3327</v>
      </c>
      <c r="S42">
        <v>-104</v>
      </c>
      <c r="T42">
        <v>49.61</v>
      </c>
      <c r="U42" t="s">
        <v>3327</v>
      </c>
      <c r="W42">
        <v>4</v>
      </c>
      <c r="X42" t="s">
        <v>3436</v>
      </c>
      <c r="Y42" t="s">
        <v>3326</v>
      </c>
      <c r="Z42">
        <v>-1004</v>
      </c>
      <c r="AA42">
        <v>35.9</v>
      </c>
      <c r="AB42" t="s">
        <v>3326</v>
      </c>
    </row>
    <row r="43" spans="1:28">
      <c r="A43">
        <v>5</v>
      </c>
      <c r="B43" t="s">
        <v>3436</v>
      </c>
      <c r="C43" t="s">
        <v>3326</v>
      </c>
      <c r="D43">
        <v>-1005</v>
      </c>
      <c r="F43">
        <v>37.39</v>
      </c>
      <c r="G43" t="s">
        <v>3326</v>
      </c>
      <c r="I43">
        <v>5</v>
      </c>
      <c r="J43" t="s">
        <v>3437</v>
      </c>
      <c r="K43">
        <v>2</v>
      </c>
      <c r="L43">
        <v>102</v>
      </c>
      <c r="M43">
        <v>192.47</v>
      </c>
      <c r="N43" t="s">
        <v>3403</v>
      </c>
      <c r="P43">
        <v>5</v>
      </c>
      <c r="Q43" t="s">
        <v>3437</v>
      </c>
      <c r="R43" t="s">
        <v>3327</v>
      </c>
      <c r="S43">
        <v>-105</v>
      </c>
      <c r="T43">
        <v>23.64</v>
      </c>
      <c r="U43" t="s">
        <v>3327</v>
      </c>
      <c r="W43">
        <v>5</v>
      </c>
      <c r="X43" t="s">
        <v>3436</v>
      </c>
      <c r="Y43" t="s">
        <v>3326</v>
      </c>
      <c r="Z43">
        <v>-1005</v>
      </c>
      <c r="AA43">
        <v>37.39</v>
      </c>
      <c r="AB43" t="s">
        <v>3326</v>
      </c>
    </row>
    <row r="44" spans="1:28">
      <c r="A44">
        <v>6</v>
      </c>
      <c r="B44" t="s">
        <v>3436</v>
      </c>
      <c r="C44" t="s">
        <v>3326</v>
      </c>
      <c r="D44">
        <v>-1006</v>
      </c>
      <c r="F44">
        <v>37.39</v>
      </c>
      <c r="G44" t="s">
        <v>3326</v>
      </c>
      <c r="I44">
        <v>6</v>
      </c>
      <c r="J44" t="s">
        <v>3437</v>
      </c>
      <c r="K44">
        <v>2</v>
      </c>
      <c r="L44">
        <v>201</v>
      </c>
      <c r="M44">
        <v>184.44</v>
      </c>
      <c r="N44" t="s">
        <v>3403</v>
      </c>
      <c r="P44">
        <v>6</v>
      </c>
      <c r="Q44" t="s">
        <v>3437</v>
      </c>
      <c r="R44" t="s">
        <v>3327</v>
      </c>
      <c r="S44">
        <v>-106</v>
      </c>
      <c r="T44">
        <v>23.67</v>
      </c>
      <c r="U44" t="s">
        <v>3327</v>
      </c>
      <c r="W44">
        <v>6</v>
      </c>
      <c r="X44" t="s">
        <v>3436</v>
      </c>
      <c r="Y44" t="s">
        <v>3326</v>
      </c>
      <c r="Z44">
        <v>-1006</v>
      </c>
      <c r="AA44">
        <v>37.39</v>
      </c>
      <c r="AB44" t="s">
        <v>3326</v>
      </c>
    </row>
    <row r="45" spans="1:28">
      <c r="A45">
        <v>7</v>
      </c>
      <c r="B45" t="s">
        <v>3436</v>
      </c>
      <c r="C45" t="s">
        <v>3326</v>
      </c>
      <c r="D45">
        <v>-1007</v>
      </c>
      <c r="F45">
        <v>37.39</v>
      </c>
      <c r="G45" t="s">
        <v>3326</v>
      </c>
      <c r="I45">
        <v>7</v>
      </c>
      <c r="J45" t="s">
        <v>3438</v>
      </c>
      <c r="K45">
        <v>1</v>
      </c>
      <c r="L45">
        <v>101</v>
      </c>
      <c r="M45">
        <v>192.35</v>
      </c>
      <c r="N45" t="s">
        <v>3403</v>
      </c>
      <c r="P45">
        <v>7</v>
      </c>
      <c r="Q45" t="s">
        <v>3437</v>
      </c>
      <c r="R45" t="s">
        <v>3327</v>
      </c>
      <c r="S45">
        <v>-107</v>
      </c>
      <c r="T45">
        <v>56.68</v>
      </c>
      <c r="U45" t="s">
        <v>3327</v>
      </c>
      <c r="W45">
        <v>7</v>
      </c>
      <c r="X45" t="s">
        <v>3436</v>
      </c>
      <c r="Y45" t="s">
        <v>3326</v>
      </c>
      <c r="Z45">
        <v>-1007</v>
      </c>
      <c r="AA45">
        <v>37.39</v>
      </c>
      <c r="AB45" t="s">
        <v>3326</v>
      </c>
    </row>
    <row r="46" spans="1:28">
      <c r="A46">
        <v>8</v>
      </c>
      <c r="B46" t="s">
        <v>3436</v>
      </c>
      <c r="C46" t="s">
        <v>3326</v>
      </c>
      <c r="D46">
        <v>-1008</v>
      </c>
      <c r="F46">
        <v>37.39</v>
      </c>
      <c r="G46" t="s">
        <v>3326</v>
      </c>
      <c r="I46">
        <v>8</v>
      </c>
      <c r="J46" t="s">
        <v>3438</v>
      </c>
      <c r="K46">
        <v>1</v>
      </c>
      <c r="L46">
        <v>102</v>
      </c>
      <c r="M46">
        <v>161.68</v>
      </c>
      <c r="N46" t="s">
        <v>3403</v>
      </c>
      <c r="P46">
        <v>8</v>
      </c>
      <c r="Q46" t="s">
        <v>3437</v>
      </c>
      <c r="R46" t="s">
        <v>3327</v>
      </c>
      <c r="S46">
        <v>-108</v>
      </c>
      <c r="T46">
        <v>41.11</v>
      </c>
      <c r="U46" t="s">
        <v>3327</v>
      </c>
      <c r="W46">
        <v>8</v>
      </c>
      <c r="X46" t="s">
        <v>3436</v>
      </c>
      <c r="Y46" t="s">
        <v>3326</v>
      </c>
      <c r="Z46">
        <v>-1008</v>
      </c>
      <c r="AA46">
        <v>37.39</v>
      </c>
      <c r="AB46" t="s">
        <v>3326</v>
      </c>
    </row>
    <row r="47" spans="1:28">
      <c r="A47">
        <v>9</v>
      </c>
      <c r="B47" t="s">
        <v>3436</v>
      </c>
      <c r="C47" t="s">
        <v>3326</v>
      </c>
      <c r="D47">
        <v>-1009</v>
      </c>
      <c r="F47">
        <v>37.39</v>
      </c>
      <c r="G47" t="s">
        <v>3326</v>
      </c>
      <c r="I47">
        <v>9</v>
      </c>
      <c r="J47" t="s">
        <v>3439</v>
      </c>
      <c r="K47">
        <v>1</v>
      </c>
      <c r="L47">
        <v>101</v>
      </c>
      <c r="M47">
        <v>192.53</v>
      </c>
      <c r="N47" t="s">
        <v>3403</v>
      </c>
      <c r="P47">
        <v>9</v>
      </c>
      <c r="Q47" t="s">
        <v>3437</v>
      </c>
      <c r="R47" t="s">
        <v>3327</v>
      </c>
      <c r="S47">
        <v>-109</v>
      </c>
      <c r="T47">
        <v>41.11</v>
      </c>
      <c r="U47" t="s">
        <v>3327</v>
      </c>
      <c r="W47">
        <v>9</v>
      </c>
      <c r="X47" t="s">
        <v>3436</v>
      </c>
      <c r="Y47" t="s">
        <v>3326</v>
      </c>
      <c r="Z47">
        <v>-1009</v>
      </c>
      <c r="AA47">
        <v>37.39</v>
      </c>
      <c r="AB47" t="s">
        <v>3326</v>
      </c>
    </row>
    <row r="48" spans="1:28">
      <c r="A48">
        <v>10</v>
      </c>
      <c r="B48" t="s">
        <v>3436</v>
      </c>
      <c r="C48" t="s">
        <v>3326</v>
      </c>
      <c r="D48">
        <v>-1010</v>
      </c>
      <c r="F48">
        <v>37.39</v>
      </c>
      <c r="G48" t="s">
        <v>3326</v>
      </c>
      <c r="I48">
        <v>10</v>
      </c>
      <c r="J48" t="s">
        <v>3439</v>
      </c>
      <c r="K48">
        <v>1</v>
      </c>
      <c r="L48">
        <v>102</v>
      </c>
      <c r="M48">
        <v>168.09</v>
      </c>
      <c r="N48" t="s">
        <v>3403</v>
      </c>
      <c r="P48">
        <v>10</v>
      </c>
      <c r="Q48" t="s">
        <v>3437</v>
      </c>
      <c r="R48" t="s">
        <v>3327</v>
      </c>
      <c r="S48">
        <v>-110</v>
      </c>
      <c r="T48">
        <v>56.68</v>
      </c>
      <c r="U48" t="s">
        <v>3327</v>
      </c>
      <c r="W48">
        <v>10</v>
      </c>
      <c r="X48" t="s">
        <v>3436</v>
      </c>
      <c r="Y48" t="s">
        <v>3326</v>
      </c>
      <c r="Z48">
        <v>-1010</v>
      </c>
      <c r="AA48">
        <v>37.39</v>
      </c>
      <c r="AB48" t="s">
        <v>3326</v>
      </c>
    </row>
    <row r="49" spans="1:28">
      <c r="A49">
        <v>11</v>
      </c>
      <c r="B49" t="s">
        <v>3436</v>
      </c>
      <c r="C49" t="s">
        <v>3326</v>
      </c>
      <c r="D49">
        <v>-1011</v>
      </c>
      <c r="F49">
        <v>37.39</v>
      </c>
      <c r="G49" t="s">
        <v>3326</v>
      </c>
      <c r="I49">
        <v>11</v>
      </c>
      <c r="J49" t="s">
        <v>3438</v>
      </c>
      <c r="K49">
        <v>1</v>
      </c>
      <c r="L49">
        <v>201</v>
      </c>
      <c r="M49">
        <v>192.37</v>
      </c>
      <c r="N49" t="s">
        <v>3403</v>
      </c>
      <c r="P49">
        <v>11</v>
      </c>
      <c r="Q49" t="s">
        <v>3437</v>
      </c>
      <c r="R49" t="s">
        <v>3327</v>
      </c>
      <c r="S49">
        <v>-111</v>
      </c>
      <c r="T49">
        <v>23.67</v>
      </c>
      <c r="U49" t="s">
        <v>3327</v>
      </c>
      <c r="W49">
        <v>11</v>
      </c>
      <c r="X49" t="s">
        <v>3436</v>
      </c>
      <c r="Y49" t="s">
        <v>3326</v>
      </c>
      <c r="Z49">
        <v>-1011</v>
      </c>
      <c r="AA49">
        <v>37.39</v>
      </c>
      <c r="AB49" t="s">
        <v>3326</v>
      </c>
    </row>
    <row r="50" spans="1:28">
      <c r="A50">
        <v>12</v>
      </c>
      <c r="B50" t="s">
        <v>3436</v>
      </c>
      <c r="C50" t="s">
        <v>3326</v>
      </c>
      <c r="D50">
        <v>-1012</v>
      </c>
      <c r="F50">
        <v>37.39</v>
      </c>
      <c r="G50" t="s">
        <v>3326</v>
      </c>
      <c r="I50">
        <v>12</v>
      </c>
      <c r="J50" t="s">
        <v>3438</v>
      </c>
      <c r="K50">
        <v>1</v>
      </c>
      <c r="L50">
        <v>202</v>
      </c>
      <c r="M50">
        <v>184.32</v>
      </c>
      <c r="N50" t="s">
        <v>3403</v>
      </c>
      <c r="P50">
        <v>12</v>
      </c>
      <c r="Q50" t="s">
        <v>3437</v>
      </c>
      <c r="R50" t="s">
        <v>3327</v>
      </c>
      <c r="S50">
        <v>-112</v>
      </c>
      <c r="T50">
        <v>23.64</v>
      </c>
      <c r="U50" t="s">
        <v>3327</v>
      </c>
      <c r="W50">
        <v>12</v>
      </c>
      <c r="X50" t="s">
        <v>3436</v>
      </c>
      <c r="Y50" t="s">
        <v>3326</v>
      </c>
      <c r="Z50">
        <v>-1012</v>
      </c>
      <c r="AA50">
        <v>37.39</v>
      </c>
      <c r="AB50" t="s">
        <v>3326</v>
      </c>
    </row>
    <row r="51" spans="1:28">
      <c r="A51">
        <v>13</v>
      </c>
      <c r="B51" t="s">
        <v>3436</v>
      </c>
      <c r="C51" t="s">
        <v>3326</v>
      </c>
      <c r="D51">
        <v>-1013</v>
      </c>
      <c r="F51">
        <v>37.39</v>
      </c>
      <c r="G51" t="s">
        <v>3326</v>
      </c>
      <c r="I51">
        <v>13</v>
      </c>
      <c r="J51" t="s">
        <v>3439</v>
      </c>
      <c r="K51">
        <v>2</v>
      </c>
      <c r="L51">
        <v>101</v>
      </c>
      <c r="M51">
        <v>168.09</v>
      </c>
      <c r="N51" t="s">
        <v>3403</v>
      </c>
      <c r="P51">
        <v>13</v>
      </c>
      <c r="Q51" t="s">
        <v>3437</v>
      </c>
      <c r="R51" t="s">
        <v>3327</v>
      </c>
      <c r="S51">
        <v>-113</v>
      </c>
      <c r="T51">
        <v>53.72</v>
      </c>
      <c r="U51" t="s">
        <v>3327</v>
      </c>
      <c r="W51">
        <v>13</v>
      </c>
      <c r="X51" t="s">
        <v>3436</v>
      </c>
      <c r="Y51" t="s">
        <v>3326</v>
      </c>
      <c r="Z51">
        <v>-1013</v>
      </c>
      <c r="AA51">
        <v>37.39</v>
      </c>
      <c r="AB51" t="s">
        <v>3326</v>
      </c>
    </row>
    <row r="52" spans="1:28">
      <c r="A52">
        <v>14</v>
      </c>
      <c r="B52" t="s">
        <v>3436</v>
      </c>
      <c r="C52" t="s">
        <v>3326</v>
      </c>
      <c r="D52">
        <v>-1014</v>
      </c>
      <c r="F52">
        <v>35.9</v>
      </c>
      <c r="G52" t="s">
        <v>3326</v>
      </c>
      <c r="I52">
        <v>14</v>
      </c>
      <c r="J52" t="s">
        <v>3439</v>
      </c>
      <c r="K52">
        <v>2</v>
      </c>
      <c r="L52">
        <v>302</v>
      </c>
      <c r="M52">
        <v>184.5</v>
      </c>
      <c r="N52" t="s">
        <v>3403</v>
      </c>
      <c r="P52">
        <v>14</v>
      </c>
      <c r="Q52" t="s">
        <v>3437</v>
      </c>
      <c r="R52" t="s">
        <v>3327</v>
      </c>
      <c r="S52">
        <v>-114</v>
      </c>
      <c r="T52">
        <v>46.5</v>
      </c>
      <c r="U52" t="s">
        <v>3327</v>
      </c>
      <c r="W52">
        <v>14</v>
      </c>
      <c r="X52" t="s">
        <v>3436</v>
      </c>
      <c r="Y52" t="s">
        <v>3326</v>
      </c>
      <c r="Z52">
        <v>-1014</v>
      </c>
      <c r="AA52">
        <v>35.9</v>
      </c>
      <c r="AB52" t="s">
        <v>3326</v>
      </c>
    </row>
    <row r="53" spans="1:28">
      <c r="A53">
        <v>15</v>
      </c>
      <c r="B53" t="s">
        <v>3436</v>
      </c>
      <c r="C53" t="s">
        <v>3326</v>
      </c>
      <c r="D53">
        <v>-1015</v>
      </c>
      <c r="F53">
        <v>35.9</v>
      </c>
      <c r="G53" t="s">
        <v>3326</v>
      </c>
      <c r="I53">
        <v>15</v>
      </c>
      <c r="J53" t="s">
        <v>3439</v>
      </c>
      <c r="K53">
        <v>2</v>
      </c>
      <c r="L53">
        <v>401</v>
      </c>
      <c r="M53">
        <v>184.5</v>
      </c>
      <c r="N53" t="s">
        <v>3403</v>
      </c>
      <c r="P53">
        <v>15</v>
      </c>
      <c r="Q53" t="s">
        <v>3437</v>
      </c>
      <c r="R53" t="s">
        <v>3327</v>
      </c>
      <c r="S53">
        <v>-115</v>
      </c>
      <c r="T53">
        <v>16.07</v>
      </c>
      <c r="U53" t="s">
        <v>3327</v>
      </c>
      <c r="W53">
        <v>15</v>
      </c>
      <c r="X53" t="s">
        <v>3436</v>
      </c>
      <c r="Y53" t="s">
        <v>3326</v>
      </c>
      <c r="Z53">
        <v>-1015</v>
      </c>
      <c r="AA53">
        <v>35.9</v>
      </c>
      <c r="AB53" t="s">
        <v>3326</v>
      </c>
    </row>
    <row r="54" spans="1:28">
      <c r="A54">
        <v>16</v>
      </c>
      <c r="B54" t="s">
        <v>3436</v>
      </c>
      <c r="C54" t="s">
        <v>3326</v>
      </c>
      <c r="D54">
        <v>-1016</v>
      </c>
      <c r="F54">
        <v>35.9</v>
      </c>
      <c r="G54" t="s">
        <v>3326</v>
      </c>
      <c r="I54">
        <v>16</v>
      </c>
      <c r="J54" t="s">
        <v>3439</v>
      </c>
      <c r="K54">
        <v>2</v>
      </c>
      <c r="L54">
        <v>402</v>
      </c>
      <c r="M54">
        <v>184.5</v>
      </c>
      <c r="N54" t="s">
        <v>3403</v>
      </c>
      <c r="P54">
        <v>16</v>
      </c>
      <c r="Q54" t="s">
        <v>3437</v>
      </c>
      <c r="R54" t="s">
        <v>3327</v>
      </c>
      <c r="S54">
        <v>-116</v>
      </c>
      <c r="T54">
        <v>31</v>
      </c>
      <c r="U54" t="s">
        <v>3327</v>
      </c>
      <c r="W54">
        <v>16</v>
      </c>
      <c r="X54" t="s">
        <v>3436</v>
      </c>
      <c r="Y54" t="s">
        <v>3326</v>
      </c>
      <c r="Z54">
        <v>-1016</v>
      </c>
      <c r="AA54">
        <v>35.9</v>
      </c>
      <c r="AB54" t="s">
        <v>3326</v>
      </c>
    </row>
    <row r="55" spans="1:28">
      <c r="A55">
        <v>17</v>
      </c>
      <c r="B55" t="s">
        <v>3436</v>
      </c>
      <c r="C55" t="s">
        <v>3326</v>
      </c>
      <c r="D55">
        <v>-1017</v>
      </c>
      <c r="F55">
        <v>35.9</v>
      </c>
      <c r="G55" t="s">
        <v>3326</v>
      </c>
      <c r="I55">
        <v>17</v>
      </c>
      <c r="J55" t="s">
        <v>3438</v>
      </c>
      <c r="K55">
        <v>1</v>
      </c>
      <c r="L55">
        <v>301</v>
      </c>
      <c r="M55">
        <v>192.37</v>
      </c>
      <c r="N55" t="s">
        <v>3403</v>
      </c>
      <c r="P55">
        <v>17</v>
      </c>
      <c r="Q55" t="s">
        <v>3437</v>
      </c>
      <c r="R55" t="s">
        <v>3327</v>
      </c>
      <c r="S55">
        <v>-117</v>
      </c>
      <c r="T55">
        <v>27.63</v>
      </c>
      <c r="U55" t="s">
        <v>3327</v>
      </c>
      <c r="W55">
        <v>17</v>
      </c>
      <c r="X55" t="s">
        <v>3436</v>
      </c>
      <c r="Y55" t="s">
        <v>3326</v>
      </c>
      <c r="Z55">
        <v>-1017</v>
      </c>
      <c r="AA55">
        <v>35.9</v>
      </c>
      <c r="AB55" t="s">
        <v>3326</v>
      </c>
    </row>
    <row r="56" spans="1:28">
      <c r="A56">
        <v>18</v>
      </c>
      <c r="B56" t="s">
        <v>3436</v>
      </c>
      <c r="C56" t="s">
        <v>3326</v>
      </c>
      <c r="D56">
        <v>-1018</v>
      </c>
      <c r="F56">
        <v>37.39</v>
      </c>
      <c r="G56" t="s">
        <v>3326</v>
      </c>
      <c r="I56">
        <v>18</v>
      </c>
      <c r="J56" t="s">
        <v>3438</v>
      </c>
      <c r="K56">
        <v>1</v>
      </c>
      <c r="L56">
        <v>302</v>
      </c>
      <c r="M56">
        <v>184.32</v>
      </c>
      <c r="N56" t="s">
        <v>3403</v>
      </c>
      <c r="P56">
        <v>18</v>
      </c>
      <c r="Q56" t="s">
        <v>3437</v>
      </c>
      <c r="R56" t="s">
        <v>3327</v>
      </c>
      <c r="S56">
        <v>-118</v>
      </c>
      <c r="T56">
        <v>19.16</v>
      </c>
      <c r="U56" t="s">
        <v>3327</v>
      </c>
      <c r="W56">
        <v>18</v>
      </c>
      <c r="X56" t="s">
        <v>3436</v>
      </c>
      <c r="Y56" t="s">
        <v>3326</v>
      </c>
      <c r="Z56">
        <v>-1018</v>
      </c>
      <c r="AA56">
        <v>37.39</v>
      </c>
      <c r="AB56" t="s">
        <v>3326</v>
      </c>
    </row>
    <row r="57" spans="1:28">
      <c r="A57">
        <v>19</v>
      </c>
      <c r="B57" t="s">
        <v>3436</v>
      </c>
      <c r="C57" t="s">
        <v>3326</v>
      </c>
      <c r="D57">
        <v>-1019</v>
      </c>
      <c r="F57">
        <v>37.39</v>
      </c>
      <c r="G57" t="s">
        <v>3326</v>
      </c>
      <c r="I57">
        <v>19</v>
      </c>
      <c r="J57" t="s">
        <v>3439</v>
      </c>
      <c r="K57">
        <v>3</v>
      </c>
      <c r="L57">
        <v>101</v>
      </c>
      <c r="M57">
        <v>168.09</v>
      </c>
      <c r="N57" t="s">
        <v>3403</v>
      </c>
      <c r="P57">
        <v>19</v>
      </c>
      <c r="Q57" t="s">
        <v>3437</v>
      </c>
      <c r="R57" t="s">
        <v>3327</v>
      </c>
      <c r="S57">
        <v>-119</v>
      </c>
      <c r="T57">
        <v>19.16</v>
      </c>
      <c r="U57" t="s">
        <v>3327</v>
      </c>
      <c r="W57">
        <v>19</v>
      </c>
      <c r="X57" t="s">
        <v>3436</v>
      </c>
      <c r="Y57" t="s">
        <v>3326</v>
      </c>
      <c r="Z57">
        <v>-1019</v>
      </c>
      <c r="AA57">
        <v>37.39</v>
      </c>
      <c r="AB57" t="s">
        <v>3326</v>
      </c>
    </row>
    <row r="58" spans="1:28">
      <c r="A58">
        <v>20</v>
      </c>
      <c r="B58" t="s">
        <v>3436</v>
      </c>
      <c r="C58" t="s">
        <v>3326</v>
      </c>
      <c r="D58">
        <v>-1020</v>
      </c>
      <c r="F58">
        <v>55.34</v>
      </c>
      <c r="G58" t="s">
        <v>3326</v>
      </c>
      <c r="I58">
        <v>20</v>
      </c>
      <c r="J58" t="s">
        <v>3439</v>
      </c>
      <c r="K58">
        <v>3</v>
      </c>
      <c r="L58">
        <v>102</v>
      </c>
      <c r="M58">
        <v>184.96</v>
      </c>
      <c r="N58" t="s">
        <v>3403</v>
      </c>
      <c r="P58">
        <v>20</v>
      </c>
      <c r="Q58" t="s">
        <v>3437</v>
      </c>
      <c r="R58" t="s">
        <v>3327</v>
      </c>
      <c r="S58">
        <v>-120</v>
      </c>
      <c r="T58">
        <v>27.63</v>
      </c>
      <c r="U58" t="s">
        <v>3327</v>
      </c>
      <c r="W58">
        <v>20</v>
      </c>
      <c r="X58" t="s">
        <v>3436</v>
      </c>
      <c r="Y58" t="s">
        <v>3326</v>
      </c>
      <c r="Z58">
        <v>-1020</v>
      </c>
      <c r="AA58">
        <v>55.34</v>
      </c>
      <c r="AB58" t="s">
        <v>3326</v>
      </c>
    </row>
    <row r="59" spans="1:28">
      <c r="A59">
        <v>21</v>
      </c>
      <c r="B59" t="s">
        <v>3436</v>
      </c>
      <c r="C59" t="s">
        <v>3326</v>
      </c>
      <c r="D59">
        <v>-1021</v>
      </c>
      <c r="F59">
        <v>35.9</v>
      </c>
      <c r="G59" t="s">
        <v>3326</v>
      </c>
      <c r="I59">
        <v>21</v>
      </c>
      <c r="J59" t="s">
        <v>3439</v>
      </c>
      <c r="K59">
        <v>3</v>
      </c>
      <c r="L59">
        <v>301</v>
      </c>
      <c r="M59">
        <v>184.5</v>
      </c>
      <c r="N59" t="s">
        <v>3403</v>
      </c>
      <c r="P59">
        <v>21</v>
      </c>
      <c r="Q59" t="s">
        <v>3437</v>
      </c>
      <c r="R59" t="s">
        <v>3327</v>
      </c>
      <c r="S59">
        <v>-201</v>
      </c>
      <c r="T59">
        <v>16.350000000000001</v>
      </c>
      <c r="U59" t="s">
        <v>3327</v>
      </c>
      <c r="W59">
        <v>21</v>
      </c>
      <c r="X59" t="s">
        <v>3436</v>
      </c>
      <c r="Y59" t="s">
        <v>3326</v>
      </c>
      <c r="Z59">
        <v>-1021</v>
      </c>
      <c r="AA59">
        <v>35.9</v>
      </c>
      <c r="AB59" t="s">
        <v>3326</v>
      </c>
    </row>
    <row r="60" spans="1:28">
      <c r="A60">
        <v>22</v>
      </c>
      <c r="B60" t="s">
        <v>3436</v>
      </c>
      <c r="C60" t="s">
        <v>3326</v>
      </c>
      <c r="D60">
        <v>-1022</v>
      </c>
      <c r="F60">
        <v>35.9</v>
      </c>
      <c r="G60" t="s">
        <v>3326</v>
      </c>
      <c r="I60">
        <v>22</v>
      </c>
      <c r="J60" t="s">
        <v>3439</v>
      </c>
      <c r="K60">
        <v>3</v>
      </c>
      <c r="L60">
        <v>302</v>
      </c>
      <c r="M60">
        <v>185</v>
      </c>
      <c r="N60" t="s">
        <v>3403</v>
      </c>
      <c r="P60">
        <v>22</v>
      </c>
      <c r="Q60" t="s">
        <v>3437</v>
      </c>
      <c r="R60" t="s">
        <v>3327</v>
      </c>
      <c r="S60">
        <v>-202</v>
      </c>
      <c r="T60">
        <v>12.43</v>
      </c>
      <c r="U60" t="s">
        <v>3327</v>
      </c>
      <c r="W60">
        <v>22</v>
      </c>
      <c r="X60" t="s">
        <v>3436</v>
      </c>
      <c r="Y60" t="s">
        <v>3326</v>
      </c>
      <c r="Z60">
        <v>-1022</v>
      </c>
      <c r="AA60">
        <v>35.9</v>
      </c>
      <c r="AB60" t="s">
        <v>3326</v>
      </c>
    </row>
    <row r="61" spans="1:28">
      <c r="A61">
        <v>23</v>
      </c>
      <c r="B61" t="s">
        <v>3436</v>
      </c>
      <c r="C61" t="s">
        <v>3326</v>
      </c>
      <c r="D61">
        <v>-1023</v>
      </c>
      <c r="F61">
        <v>37.39</v>
      </c>
      <c r="G61" t="s">
        <v>3326</v>
      </c>
      <c r="I61">
        <v>23</v>
      </c>
      <c r="J61" t="s">
        <v>3438</v>
      </c>
      <c r="K61">
        <v>1</v>
      </c>
      <c r="L61">
        <v>401</v>
      </c>
      <c r="M61">
        <v>192.37</v>
      </c>
      <c r="N61" t="s">
        <v>3403</v>
      </c>
      <c r="P61">
        <v>23</v>
      </c>
      <c r="Q61" t="s">
        <v>3437</v>
      </c>
      <c r="R61" t="s">
        <v>3327</v>
      </c>
      <c r="S61">
        <v>-203</v>
      </c>
      <c r="T61">
        <v>17.78</v>
      </c>
      <c r="U61" t="s">
        <v>3327</v>
      </c>
      <c r="W61">
        <v>23</v>
      </c>
      <c r="X61" t="s">
        <v>3436</v>
      </c>
      <c r="Y61" t="s">
        <v>3326</v>
      </c>
      <c r="Z61">
        <v>-1023</v>
      </c>
      <c r="AA61">
        <v>37.39</v>
      </c>
      <c r="AB61" t="s">
        <v>3326</v>
      </c>
    </row>
    <row r="62" spans="1:28">
      <c r="A62">
        <v>24</v>
      </c>
      <c r="B62" t="s">
        <v>3436</v>
      </c>
      <c r="C62" t="s">
        <v>3326</v>
      </c>
      <c r="D62">
        <v>-1024</v>
      </c>
      <c r="F62">
        <v>37.39</v>
      </c>
      <c r="G62" t="s">
        <v>3326</v>
      </c>
      <c r="I62">
        <v>24</v>
      </c>
      <c r="J62" t="s">
        <v>3438</v>
      </c>
      <c r="K62">
        <v>1</v>
      </c>
      <c r="L62">
        <v>402</v>
      </c>
      <c r="M62">
        <v>184.32</v>
      </c>
      <c r="N62" t="s">
        <v>3403</v>
      </c>
      <c r="P62">
        <v>24</v>
      </c>
      <c r="Q62" t="s">
        <v>3437</v>
      </c>
      <c r="R62" t="s">
        <v>3327</v>
      </c>
      <c r="S62">
        <v>-204</v>
      </c>
      <c r="T62">
        <v>20.59</v>
      </c>
      <c r="U62" t="s">
        <v>3327</v>
      </c>
      <c r="W62">
        <v>24</v>
      </c>
      <c r="X62" t="s">
        <v>3436</v>
      </c>
      <c r="Y62" t="s">
        <v>3326</v>
      </c>
      <c r="Z62">
        <v>-1024</v>
      </c>
      <c r="AA62">
        <v>37.39</v>
      </c>
      <c r="AB62" t="s">
        <v>3326</v>
      </c>
    </row>
    <row r="63" spans="1:28">
      <c r="A63">
        <v>25</v>
      </c>
      <c r="B63" t="s">
        <v>3436</v>
      </c>
      <c r="C63" t="s">
        <v>3326</v>
      </c>
      <c r="D63">
        <v>-1025</v>
      </c>
      <c r="F63">
        <v>35.9</v>
      </c>
      <c r="G63" t="s">
        <v>3326</v>
      </c>
      <c r="I63">
        <v>25</v>
      </c>
      <c r="J63" t="s">
        <v>3438</v>
      </c>
      <c r="K63">
        <v>2</v>
      </c>
      <c r="L63">
        <v>101</v>
      </c>
      <c r="M63">
        <v>161.68</v>
      </c>
      <c r="N63" t="s">
        <v>3403</v>
      </c>
      <c r="P63">
        <v>25</v>
      </c>
      <c r="Q63" t="s">
        <v>3438</v>
      </c>
      <c r="R63" t="s">
        <v>3327</v>
      </c>
      <c r="S63">
        <v>-101</v>
      </c>
      <c r="T63">
        <v>30.96</v>
      </c>
      <c r="U63" t="s">
        <v>3327</v>
      </c>
      <c r="W63">
        <v>25</v>
      </c>
      <c r="X63" t="s">
        <v>3436</v>
      </c>
      <c r="Y63" t="s">
        <v>3326</v>
      </c>
      <c r="Z63">
        <v>-1025</v>
      </c>
      <c r="AA63">
        <v>35.9</v>
      </c>
      <c r="AB63" t="s">
        <v>3326</v>
      </c>
    </row>
    <row r="64" spans="1:28">
      <c r="A64">
        <v>26</v>
      </c>
      <c r="B64" t="s">
        <v>3436</v>
      </c>
      <c r="C64" t="s">
        <v>3326</v>
      </c>
      <c r="D64">
        <v>-1026</v>
      </c>
      <c r="F64">
        <v>35.9</v>
      </c>
      <c r="G64" t="s">
        <v>3326</v>
      </c>
      <c r="I64">
        <v>26</v>
      </c>
      <c r="J64" t="s">
        <v>3438</v>
      </c>
      <c r="K64">
        <v>2</v>
      </c>
      <c r="L64">
        <v>102</v>
      </c>
      <c r="M64">
        <v>184.78</v>
      </c>
      <c r="N64" t="s">
        <v>3403</v>
      </c>
      <c r="P64">
        <v>26</v>
      </c>
      <c r="Q64" t="s">
        <v>3438</v>
      </c>
      <c r="R64" t="s">
        <v>3327</v>
      </c>
      <c r="S64">
        <v>-102</v>
      </c>
      <c r="T64">
        <v>16.05</v>
      </c>
      <c r="U64" t="s">
        <v>3327</v>
      </c>
      <c r="W64">
        <v>26</v>
      </c>
      <c r="X64" t="s">
        <v>3436</v>
      </c>
      <c r="Y64" t="s">
        <v>3326</v>
      </c>
      <c r="Z64">
        <v>-1026</v>
      </c>
      <c r="AA64">
        <v>35.9</v>
      </c>
      <c r="AB64" t="s">
        <v>3326</v>
      </c>
    </row>
    <row r="65" spans="1:28">
      <c r="A65">
        <v>27</v>
      </c>
      <c r="B65" t="s">
        <v>3436</v>
      </c>
      <c r="C65" t="s">
        <v>3326</v>
      </c>
      <c r="D65">
        <v>-1027</v>
      </c>
      <c r="F65">
        <v>35.9</v>
      </c>
      <c r="G65" t="s">
        <v>3326</v>
      </c>
      <c r="I65">
        <v>27</v>
      </c>
      <c r="J65" t="s">
        <v>3440</v>
      </c>
      <c r="K65">
        <v>1</v>
      </c>
      <c r="L65">
        <v>102</v>
      </c>
      <c r="M65">
        <v>210.98</v>
      </c>
      <c r="N65" t="s">
        <v>3403</v>
      </c>
      <c r="P65">
        <v>27</v>
      </c>
      <c r="Q65" t="s">
        <v>3438</v>
      </c>
      <c r="R65" t="s">
        <v>3327</v>
      </c>
      <c r="S65">
        <v>-103</v>
      </c>
      <c r="T65">
        <v>46.62</v>
      </c>
      <c r="U65" t="s">
        <v>3327</v>
      </c>
      <c r="W65">
        <v>27</v>
      </c>
      <c r="X65" t="s">
        <v>3436</v>
      </c>
      <c r="Y65" t="s">
        <v>3326</v>
      </c>
      <c r="Z65">
        <v>-1027</v>
      </c>
      <c r="AA65">
        <v>35.9</v>
      </c>
      <c r="AB65" t="s">
        <v>3326</v>
      </c>
    </row>
    <row r="66" spans="1:28">
      <c r="A66">
        <v>28</v>
      </c>
      <c r="B66" t="s">
        <v>3436</v>
      </c>
      <c r="C66" t="s">
        <v>3326</v>
      </c>
      <c r="D66">
        <v>-1028</v>
      </c>
      <c r="F66">
        <v>35.9</v>
      </c>
      <c r="G66" t="s">
        <v>3326</v>
      </c>
      <c r="I66">
        <v>28</v>
      </c>
      <c r="J66" t="s">
        <v>3440</v>
      </c>
      <c r="K66">
        <v>1</v>
      </c>
      <c r="L66">
        <v>201</v>
      </c>
      <c r="M66">
        <v>230.89</v>
      </c>
      <c r="N66" t="s">
        <v>3403</v>
      </c>
      <c r="P66">
        <v>28</v>
      </c>
      <c r="Q66" t="s">
        <v>3438</v>
      </c>
      <c r="R66" t="s">
        <v>3327</v>
      </c>
      <c r="S66">
        <v>-104</v>
      </c>
      <c r="T66">
        <v>53.65</v>
      </c>
      <c r="U66" t="s">
        <v>3327</v>
      </c>
      <c r="W66">
        <v>28</v>
      </c>
      <c r="X66" t="s">
        <v>3436</v>
      </c>
      <c r="Y66" t="s">
        <v>3326</v>
      </c>
      <c r="Z66">
        <v>-1028</v>
      </c>
      <c r="AA66">
        <v>35.9</v>
      </c>
      <c r="AB66" t="s">
        <v>3326</v>
      </c>
    </row>
    <row r="67" spans="1:28">
      <c r="A67">
        <v>29</v>
      </c>
      <c r="B67" t="s">
        <v>3436</v>
      </c>
      <c r="C67" t="s">
        <v>3326</v>
      </c>
      <c r="D67">
        <v>-1031</v>
      </c>
      <c r="F67">
        <v>37.39</v>
      </c>
      <c r="G67" t="s">
        <v>3326</v>
      </c>
      <c r="I67">
        <v>29</v>
      </c>
      <c r="J67" t="s">
        <v>3440</v>
      </c>
      <c r="K67">
        <v>1</v>
      </c>
      <c r="L67">
        <v>202</v>
      </c>
      <c r="M67">
        <v>221.84</v>
      </c>
      <c r="N67" t="s">
        <v>3403</v>
      </c>
      <c r="P67">
        <v>29</v>
      </c>
      <c r="Q67" t="s">
        <v>3438</v>
      </c>
      <c r="R67" t="s">
        <v>3327</v>
      </c>
      <c r="S67">
        <v>-105</v>
      </c>
      <c r="T67">
        <v>23.61</v>
      </c>
      <c r="U67" t="s">
        <v>3327</v>
      </c>
      <c r="W67">
        <v>29</v>
      </c>
      <c r="X67" t="s">
        <v>3436</v>
      </c>
      <c r="Y67" t="s">
        <v>3326</v>
      </c>
      <c r="Z67">
        <v>-1031</v>
      </c>
      <c r="AA67">
        <v>37.39</v>
      </c>
      <c r="AB67" t="s">
        <v>3326</v>
      </c>
    </row>
    <row r="68" spans="1:28">
      <c r="A68">
        <v>30</v>
      </c>
      <c r="B68" t="s">
        <v>3436</v>
      </c>
      <c r="C68" t="s">
        <v>3326</v>
      </c>
      <c r="D68">
        <v>-1032</v>
      </c>
      <c r="F68">
        <v>37.39</v>
      </c>
      <c r="G68" t="s">
        <v>3326</v>
      </c>
      <c r="I68">
        <v>30</v>
      </c>
      <c r="J68" t="s">
        <v>3440</v>
      </c>
      <c r="K68">
        <v>1</v>
      </c>
      <c r="L68">
        <v>301</v>
      </c>
      <c r="M68">
        <v>230.89</v>
      </c>
      <c r="N68" t="s">
        <v>3403</v>
      </c>
      <c r="P68">
        <v>30</v>
      </c>
      <c r="Q68" t="s">
        <v>3438</v>
      </c>
      <c r="R68" t="s">
        <v>3327</v>
      </c>
      <c r="S68">
        <v>-106</v>
      </c>
      <c r="T68">
        <v>23.65</v>
      </c>
      <c r="U68" t="s">
        <v>3327</v>
      </c>
      <c r="W68">
        <v>30</v>
      </c>
      <c r="X68" t="s">
        <v>3436</v>
      </c>
      <c r="Y68" t="s">
        <v>3326</v>
      </c>
      <c r="Z68">
        <v>-1032</v>
      </c>
      <c r="AA68">
        <v>37.39</v>
      </c>
      <c r="AB68" t="s">
        <v>3326</v>
      </c>
    </row>
    <row r="69" spans="1:28">
      <c r="A69">
        <v>31</v>
      </c>
      <c r="B69" t="s">
        <v>3436</v>
      </c>
      <c r="C69" t="s">
        <v>3326</v>
      </c>
      <c r="D69">
        <v>-1033</v>
      </c>
      <c r="F69">
        <v>37.39</v>
      </c>
      <c r="G69" t="s">
        <v>3326</v>
      </c>
      <c r="I69">
        <v>31</v>
      </c>
      <c r="J69" t="s">
        <v>3440</v>
      </c>
      <c r="K69">
        <v>1</v>
      </c>
      <c r="L69">
        <v>302</v>
      </c>
      <c r="M69">
        <v>221.84</v>
      </c>
      <c r="N69" t="s">
        <v>3403</v>
      </c>
      <c r="P69">
        <v>31</v>
      </c>
      <c r="Q69" t="s">
        <v>3438</v>
      </c>
      <c r="R69" t="s">
        <v>3327</v>
      </c>
      <c r="S69">
        <v>-107</v>
      </c>
      <c r="T69">
        <v>56.61</v>
      </c>
      <c r="U69" t="s">
        <v>3327</v>
      </c>
      <c r="W69">
        <v>31</v>
      </c>
      <c r="X69" t="s">
        <v>3436</v>
      </c>
      <c r="Y69" t="s">
        <v>3326</v>
      </c>
      <c r="Z69">
        <v>-1033</v>
      </c>
      <c r="AA69">
        <v>37.39</v>
      </c>
      <c r="AB69" t="s">
        <v>3326</v>
      </c>
    </row>
    <row r="70" spans="1:28">
      <c r="A70">
        <v>32</v>
      </c>
      <c r="B70" t="s">
        <v>3436</v>
      </c>
      <c r="C70" t="s">
        <v>3326</v>
      </c>
      <c r="D70">
        <v>-1034</v>
      </c>
      <c r="F70">
        <v>37.39</v>
      </c>
      <c r="G70" t="s">
        <v>3326</v>
      </c>
      <c r="I70">
        <v>32</v>
      </c>
      <c r="J70" t="s">
        <v>3440</v>
      </c>
      <c r="K70">
        <v>1</v>
      </c>
      <c r="L70">
        <v>401</v>
      </c>
      <c r="M70">
        <v>230.89</v>
      </c>
      <c r="N70" t="s">
        <v>3403</v>
      </c>
      <c r="P70">
        <v>32</v>
      </c>
      <c r="Q70" t="s">
        <v>3438</v>
      </c>
      <c r="R70" t="s">
        <v>3327</v>
      </c>
      <c r="S70">
        <v>-108</v>
      </c>
      <c r="T70">
        <v>41.07</v>
      </c>
      <c r="U70" t="s">
        <v>3327</v>
      </c>
      <c r="W70">
        <v>32</v>
      </c>
      <c r="X70" t="s">
        <v>3436</v>
      </c>
      <c r="Y70" t="s">
        <v>3326</v>
      </c>
      <c r="Z70">
        <v>-1034</v>
      </c>
      <c r="AA70">
        <v>37.39</v>
      </c>
      <c r="AB70" t="s">
        <v>3326</v>
      </c>
    </row>
    <row r="71" spans="1:28">
      <c r="A71">
        <v>33</v>
      </c>
      <c r="B71" t="s">
        <v>3436</v>
      </c>
      <c r="C71" t="s">
        <v>3326</v>
      </c>
      <c r="D71">
        <v>-1035</v>
      </c>
      <c r="F71">
        <v>37.39</v>
      </c>
      <c r="G71" t="s">
        <v>3326</v>
      </c>
      <c r="I71">
        <v>33</v>
      </c>
      <c r="J71" t="s">
        <v>3440</v>
      </c>
      <c r="K71">
        <v>1</v>
      </c>
      <c r="L71">
        <v>402</v>
      </c>
      <c r="M71">
        <v>221.84</v>
      </c>
      <c r="N71" t="s">
        <v>3403</v>
      </c>
      <c r="P71">
        <v>33</v>
      </c>
      <c r="Q71" t="s">
        <v>3438</v>
      </c>
      <c r="R71" t="s">
        <v>3327</v>
      </c>
      <c r="S71">
        <v>-109</v>
      </c>
      <c r="T71">
        <v>41.07</v>
      </c>
      <c r="U71" t="s">
        <v>3327</v>
      </c>
      <c r="W71">
        <v>33</v>
      </c>
      <c r="X71" t="s">
        <v>3436</v>
      </c>
      <c r="Y71" t="s">
        <v>3326</v>
      </c>
      <c r="Z71">
        <v>-1035</v>
      </c>
      <c r="AA71">
        <v>37.39</v>
      </c>
      <c r="AB71" t="s">
        <v>3326</v>
      </c>
    </row>
    <row r="72" spans="1:28">
      <c r="A72">
        <v>34</v>
      </c>
      <c r="B72" t="s">
        <v>3436</v>
      </c>
      <c r="C72" t="s">
        <v>3326</v>
      </c>
      <c r="D72">
        <v>-1036</v>
      </c>
      <c r="F72">
        <v>37.39</v>
      </c>
      <c r="G72" t="s">
        <v>3326</v>
      </c>
      <c r="I72">
        <v>34</v>
      </c>
      <c r="J72" t="s">
        <v>3438</v>
      </c>
      <c r="K72">
        <v>2</v>
      </c>
      <c r="L72">
        <v>201</v>
      </c>
      <c r="M72">
        <v>184.32</v>
      </c>
      <c r="N72" t="s">
        <v>3403</v>
      </c>
      <c r="P72">
        <v>34</v>
      </c>
      <c r="Q72" t="s">
        <v>3438</v>
      </c>
      <c r="R72" t="s">
        <v>3327</v>
      </c>
      <c r="S72">
        <v>-110</v>
      </c>
      <c r="T72">
        <v>56.61</v>
      </c>
      <c r="U72" t="s">
        <v>3327</v>
      </c>
      <c r="W72">
        <v>34</v>
      </c>
      <c r="X72" t="s">
        <v>3436</v>
      </c>
      <c r="Y72" t="s">
        <v>3326</v>
      </c>
      <c r="Z72">
        <v>-1036</v>
      </c>
      <c r="AA72">
        <v>37.39</v>
      </c>
      <c r="AB72" t="s">
        <v>3326</v>
      </c>
    </row>
    <row r="73" spans="1:28">
      <c r="A73">
        <v>35</v>
      </c>
      <c r="B73" t="s">
        <v>3436</v>
      </c>
      <c r="C73" t="s">
        <v>3326</v>
      </c>
      <c r="D73">
        <v>-1037</v>
      </c>
      <c r="F73">
        <v>37.39</v>
      </c>
      <c r="G73" t="s">
        <v>3326</v>
      </c>
      <c r="I73">
        <v>35</v>
      </c>
      <c r="J73" t="s">
        <v>3438</v>
      </c>
      <c r="K73">
        <v>2</v>
      </c>
      <c r="L73">
        <v>202</v>
      </c>
      <c r="M73">
        <v>184.82</v>
      </c>
      <c r="N73" t="s">
        <v>3403</v>
      </c>
      <c r="P73">
        <v>35</v>
      </c>
      <c r="Q73" t="s">
        <v>3439</v>
      </c>
      <c r="R73" t="s">
        <v>3327</v>
      </c>
      <c r="S73">
        <v>-101</v>
      </c>
      <c r="T73">
        <v>31.07</v>
      </c>
      <c r="U73" t="s">
        <v>3327</v>
      </c>
      <c r="W73">
        <v>35</v>
      </c>
      <c r="X73" t="s">
        <v>3436</v>
      </c>
      <c r="Y73" t="s">
        <v>3326</v>
      </c>
      <c r="Z73">
        <v>-1037</v>
      </c>
      <c r="AA73">
        <v>37.39</v>
      </c>
      <c r="AB73" t="s">
        <v>3326</v>
      </c>
    </row>
    <row r="74" spans="1:28">
      <c r="A74">
        <v>36</v>
      </c>
      <c r="B74" t="s">
        <v>3436</v>
      </c>
      <c r="C74" t="s">
        <v>3326</v>
      </c>
      <c r="D74">
        <v>-1038</v>
      </c>
      <c r="F74">
        <v>37.39</v>
      </c>
      <c r="G74" t="s">
        <v>3326</v>
      </c>
      <c r="I74">
        <v>36</v>
      </c>
      <c r="J74" t="s">
        <v>3440</v>
      </c>
      <c r="K74">
        <v>2</v>
      </c>
      <c r="L74">
        <v>101</v>
      </c>
      <c r="M74">
        <v>210.98</v>
      </c>
      <c r="N74" t="s">
        <v>3403</v>
      </c>
      <c r="P74">
        <v>36</v>
      </c>
      <c r="Q74" t="s">
        <v>3439</v>
      </c>
      <c r="R74" t="s">
        <v>3327</v>
      </c>
      <c r="S74">
        <v>-102</v>
      </c>
      <c r="T74">
        <v>16.239999999999998</v>
      </c>
      <c r="U74" t="s">
        <v>3327</v>
      </c>
      <c r="W74">
        <v>36</v>
      </c>
      <c r="X74" t="s">
        <v>3436</v>
      </c>
      <c r="Y74" t="s">
        <v>3326</v>
      </c>
      <c r="Z74">
        <v>-1038</v>
      </c>
      <c r="AA74">
        <v>37.39</v>
      </c>
      <c r="AB74" t="s">
        <v>3326</v>
      </c>
    </row>
    <row r="75" spans="1:28">
      <c r="A75">
        <v>37</v>
      </c>
      <c r="B75" t="s">
        <v>3436</v>
      </c>
      <c r="C75" t="s">
        <v>3326</v>
      </c>
      <c r="D75">
        <v>-1039</v>
      </c>
      <c r="F75">
        <v>37.39</v>
      </c>
      <c r="G75" t="s">
        <v>3326</v>
      </c>
      <c r="I75">
        <v>37</v>
      </c>
      <c r="J75" t="s">
        <v>3440</v>
      </c>
      <c r="K75">
        <v>2</v>
      </c>
      <c r="L75">
        <v>102</v>
      </c>
      <c r="M75">
        <v>210.98</v>
      </c>
      <c r="N75" t="s">
        <v>3403</v>
      </c>
      <c r="P75">
        <v>37</v>
      </c>
      <c r="Q75" t="s">
        <v>3439</v>
      </c>
      <c r="R75" t="s">
        <v>3327</v>
      </c>
      <c r="S75">
        <v>-103</v>
      </c>
      <c r="T75">
        <v>46.61</v>
      </c>
      <c r="U75" t="s">
        <v>3327</v>
      </c>
      <c r="W75">
        <v>37</v>
      </c>
      <c r="X75" t="s">
        <v>3436</v>
      </c>
      <c r="Y75" t="s">
        <v>3326</v>
      </c>
      <c r="Z75">
        <v>-1039</v>
      </c>
      <c r="AA75">
        <v>37.39</v>
      </c>
      <c r="AB75" t="s">
        <v>3326</v>
      </c>
    </row>
    <row r="76" spans="1:28">
      <c r="A76">
        <v>38</v>
      </c>
      <c r="B76" t="s">
        <v>3436</v>
      </c>
      <c r="C76" t="s">
        <v>3326</v>
      </c>
      <c r="D76">
        <v>-1040</v>
      </c>
      <c r="F76">
        <v>37.39</v>
      </c>
      <c r="G76" t="s">
        <v>3326</v>
      </c>
      <c r="I76">
        <v>38</v>
      </c>
      <c r="J76" t="s">
        <v>3440</v>
      </c>
      <c r="K76">
        <v>2</v>
      </c>
      <c r="L76">
        <v>201</v>
      </c>
      <c r="M76">
        <v>221.84</v>
      </c>
      <c r="N76" t="s">
        <v>3403</v>
      </c>
      <c r="P76">
        <v>38</v>
      </c>
      <c r="Q76" t="s">
        <v>3439</v>
      </c>
      <c r="R76" t="s">
        <v>3327</v>
      </c>
      <c r="S76">
        <v>-104</v>
      </c>
      <c r="T76">
        <v>53.84</v>
      </c>
      <c r="U76" t="s">
        <v>3327</v>
      </c>
      <c r="W76">
        <v>38</v>
      </c>
      <c r="X76" t="s">
        <v>3436</v>
      </c>
      <c r="Y76" t="s">
        <v>3326</v>
      </c>
      <c r="Z76">
        <v>-1040</v>
      </c>
      <c r="AA76">
        <v>37.39</v>
      </c>
      <c r="AB76" t="s">
        <v>3326</v>
      </c>
    </row>
    <row r="77" spans="1:28">
      <c r="A77">
        <v>39</v>
      </c>
      <c r="B77" t="s">
        <v>3436</v>
      </c>
      <c r="C77" t="s">
        <v>3326</v>
      </c>
      <c r="D77">
        <v>-1041</v>
      </c>
      <c r="F77">
        <v>37.39</v>
      </c>
      <c r="G77" t="s">
        <v>3326</v>
      </c>
      <c r="I77">
        <v>39</v>
      </c>
      <c r="J77" t="s">
        <v>3440</v>
      </c>
      <c r="K77">
        <v>2</v>
      </c>
      <c r="L77">
        <v>202</v>
      </c>
      <c r="M77">
        <v>221.84</v>
      </c>
      <c r="N77" t="s">
        <v>3403</v>
      </c>
      <c r="P77">
        <v>39</v>
      </c>
      <c r="Q77" t="s">
        <v>3439</v>
      </c>
      <c r="R77" t="s">
        <v>3327</v>
      </c>
      <c r="S77">
        <v>-105</v>
      </c>
      <c r="T77">
        <v>23.69</v>
      </c>
      <c r="U77" t="s">
        <v>3327</v>
      </c>
      <c r="W77">
        <v>39</v>
      </c>
      <c r="X77" t="s">
        <v>3436</v>
      </c>
      <c r="Y77" t="s">
        <v>3326</v>
      </c>
      <c r="Z77">
        <v>-1041</v>
      </c>
      <c r="AA77">
        <v>37.39</v>
      </c>
      <c r="AB77" t="s">
        <v>3326</v>
      </c>
    </row>
    <row r="78" spans="1:28">
      <c r="A78">
        <v>40</v>
      </c>
      <c r="B78" t="s">
        <v>3436</v>
      </c>
      <c r="C78" t="s">
        <v>3326</v>
      </c>
      <c r="D78">
        <v>-1042</v>
      </c>
      <c r="F78">
        <v>37.39</v>
      </c>
      <c r="G78" t="s">
        <v>3326</v>
      </c>
      <c r="I78">
        <v>40</v>
      </c>
      <c r="J78" t="s">
        <v>3440</v>
      </c>
      <c r="K78">
        <v>2</v>
      </c>
      <c r="L78">
        <v>301</v>
      </c>
      <c r="M78">
        <v>221.84</v>
      </c>
      <c r="N78" t="s">
        <v>3403</v>
      </c>
      <c r="P78">
        <v>40</v>
      </c>
      <c r="Q78" t="s">
        <v>3439</v>
      </c>
      <c r="R78" t="s">
        <v>3327</v>
      </c>
      <c r="S78">
        <v>-106</v>
      </c>
      <c r="T78">
        <v>23.69</v>
      </c>
      <c r="U78" t="s">
        <v>3327</v>
      </c>
      <c r="W78">
        <v>40</v>
      </c>
      <c r="X78" t="s">
        <v>3436</v>
      </c>
      <c r="Y78" t="s">
        <v>3326</v>
      </c>
      <c r="Z78">
        <v>-1042</v>
      </c>
      <c r="AA78">
        <v>37.39</v>
      </c>
      <c r="AB78" t="s">
        <v>3326</v>
      </c>
    </row>
    <row r="79" spans="1:28">
      <c r="A79">
        <v>41</v>
      </c>
      <c r="B79" t="s">
        <v>3436</v>
      </c>
      <c r="C79" t="s">
        <v>3326</v>
      </c>
      <c r="D79">
        <v>-1043</v>
      </c>
      <c r="F79">
        <v>37.39</v>
      </c>
      <c r="G79" t="s">
        <v>3326</v>
      </c>
      <c r="I79">
        <v>41</v>
      </c>
      <c r="J79" t="s">
        <v>3440</v>
      </c>
      <c r="K79">
        <v>2</v>
      </c>
      <c r="L79">
        <v>302</v>
      </c>
      <c r="M79">
        <v>221.84</v>
      </c>
      <c r="N79" t="s">
        <v>3403</v>
      </c>
      <c r="P79">
        <v>41</v>
      </c>
      <c r="Q79" t="s">
        <v>3439</v>
      </c>
      <c r="R79" t="s">
        <v>3327</v>
      </c>
      <c r="S79">
        <v>-107</v>
      </c>
      <c r="T79">
        <v>56.77</v>
      </c>
      <c r="U79" t="s">
        <v>3327</v>
      </c>
      <c r="W79">
        <v>41</v>
      </c>
      <c r="X79" t="s">
        <v>3436</v>
      </c>
      <c r="Y79" t="s">
        <v>3326</v>
      </c>
      <c r="Z79">
        <v>-1043</v>
      </c>
      <c r="AA79">
        <v>37.39</v>
      </c>
      <c r="AB79" t="s">
        <v>3326</v>
      </c>
    </row>
    <row r="80" spans="1:28">
      <c r="A80">
        <v>42</v>
      </c>
      <c r="B80" t="s">
        <v>3436</v>
      </c>
      <c r="C80" t="s">
        <v>3326</v>
      </c>
      <c r="D80">
        <v>-1044</v>
      </c>
      <c r="F80">
        <v>37.39</v>
      </c>
      <c r="G80" t="s">
        <v>3326</v>
      </c>
      <c r="I80">
        <v>42</v>
      </c>
      <c r="J80" t="s">
        <v>3440</v>
      </c>
      <c r="K80">
        <v>2</v>
      </c>
      <c r="L80">
        <v>401</v>
      </c>
      <c r="M80">
        <v>221.84</v>
      </c>
      <c r="N80" t="s">
        <v>3403</v>
      </c>
      <c r="P80">
        <v>42</v>
      </c>
      <c r="Q80" t="s">
        <v>3439</v>
      </c>
      <c r="R80" t="s">
        <v>3327</v>
      </c>
      <c r="S80">
        <v>-108</v>
      </c>
      <c r="T80">
        <v>41.51</v>
      </c>
      <c r="U80" t="s">
        <v>3327</v>
      </c>
      <c r="W80">
        <v>42</v>
      </c>
      <c r="X80" t="s">
        <v>3436</v>
      </c>
      <c r="Y80" t="s">
        <v>3326</v>
      </c>
      <c r="Z80">
        <v>-1044</v>
      </c>
      <c r="AA80">
        <v>37.39</v>
      </c>
      <c r="AB80" t="s">
        <v>3326</v>
      </c>
    </row>
    <row r="81" spans="1:28">
      <c r="A81">
        <v>43</v>
      </c>
      <c r="B81" t="s">
        <v>3436</v>
      </c>
      <c r="C81" t="s">
        <v>3326</v>
      </c>
      <c r="D81">
        <v>-1045</v>
      </c>
      <c r="F81">
        <v>37.39</v>
      </c>
      <c r="G81" t="s">
        <v>3326</v>
      </c>
      <c r="I81">
        <v>43</v>
      </c>
      <c r="J81" t="s">
        <v>3440</v>
      </c>
      <c r="K81">
        <v>2</v>
      </c>
      <c r="L81">
        <v>402</v>
      </c>
      <c r="M81">
        <v>221.84</v>
      </c>
      <c r="N81" t="s">
        <v>3403</v>
      </c>
      <c r="P81">
        <v>43</v>
      </c>
      <c r="Q81" t="s">
        <v>3439</v>
      </c>
      <c r="R81" t="s">
        <v>3327</v>
      </c>
      <c r="S81">
        <v>-109</v>
      </c>
      <c r="T81">
        <v>41.51</v>
      </c>
      <c r="U81" t="s">
        <v>3327</v>
      </c>
      <c r="W81">
        <v>43</v>
      </c>
      <c r="X81" t="s">
        <v>3436</v>
      </c>
      <c r="Y81" t="s">
        <v>3326</v>
      </c>
      <c r="Z81">
        <v>-1045</v>
      </c>
      <c r="AA81">
        <v>37.39</v>
      </c>
      <c r="AB81" t="s">
        <v>3326</v>
      </c>
    </row>
    <row r="82" spans="1:28">
      <c r="A82">
        <v>44</v>
      </c>
      <c r="B82" t="s">
        <v>3436</v>
      </c>
      <c r="C82" t="s">
        <v>3326</v>
      </c>
      <c r="D82">
        <v>-1046</v>
      </c>
      <c r="F82">
        <v>37.39</v>
      </c>
      <c r="G82" t="s">
        <v>3326</v>
      </c>
      <c r="I82">
        <v>44</v>
      </c>
      <c r="J82" t="s">
        <v>3438</v>
      </c>
      <c r="K82">
        <v>2</v>
      </c>
      <c r="L82">
        <v>301</v>
      </c>
      <c r="M82">
        <v>184.32</v>
      </c>
      <c r="N82" t="s">
        <v>3403</v>
      </c>
      <c r="P82">
        <v>44</v>
      </c>
      <c r="Q82" t="s">
        <v>3438</v>
      </c>
      <c r="R82" t="s">
        <v>3327</v>
      </c>
      <c r="S82">
        <v>-111</v>
      </c>
      <c r="T82">
        <v>23.65</v>
      </c>
      <c r="U82" t="s">
        <v>3327</v>
      </c>
      <c r="W82">
        <v>44</v>
      </c>
      <c r="X82" t="s">
        <v>3436</v>
      </c>
      <c r="Y82" t="s">
        <v>3326</v>
      </c>
      <c r="Z82">
        <v>-1046</v>
      </c>
      <c r="AA82">
        <v>37.39</v>
      </c>
      <c r="AB82" t="s">
        <v>3326</v>
      </c>
    </row>
    <row r="83" spans="1:28">
      <c r="A83">
        <v>45</v>
      </c>
      <c r="B83" t="s">
        <v>3436</v>
      </c>
      <c r="C83" t="s">
        <v>3326</v>
      </c>
      <c r="D83">
        <v>-1047</v>
      </c>
      <c r="F83">
        <v>37.39</v>
      </c>
      <c r="G83" t="s">
        <v>3326</v>
      </c>
      <c r="I83">
        <v>45</v>
      </c>
      <c r="J83" t="s">
        <v>3438</v>
      </c>
      <c r="K83">
        <v>2</v>
      </c>
      <c r="L83">
        <v>302</v>
      </c>
      <c r="M83">
        <v>184.82</v>
      </c>
      <c r="N83" t="s">
        <v>3403</v>
      </c>
      <c r="P83">
        <v>45</v>
      </c>
      <c r="Q83" t="s">
        <v>3439</v>
      </c>
      <c r="R83" t="s">
        <v>3327</v>
      </c>
      <c r="S83">
        <v>-110</v>
      </c>
      <c r="T83">
        <v>56.77</v>
      </c>
      <c r="U83" t="s">
        <v>3327</v>
      </c>
      <c r="W83">
        <v>45</v>
      </c>
      <c r="X83" t="s">
        <v>3436</v>
      </c>
      <c r="Y83" t="s">
        <v>3326</v>
      </c>
      <c r="Z83">
        <v>-1047</v>
      </c>
      <c r="AA83">
        <v>37.39</v>
      </c>
      <c r="AB83" t="s">
        <v>3326</v>
      </c>
    </row>
    <row r="84" spans="1:28">
      <c r="A84">
        <v>46</v>
      </c>
      <c r="B84" t="s">
        <v>3436</v>
      </c>
      <c r="C84" t="s">
        <v>3326</v>
      </c>
      <c r="D84">
        <v>-1048</v>
      </c>
      <c r="F84">
        <v>37.39</v>
      </c>
      <c r="G84" t="s">
        <v>3326</v>
      </c>
      <c r="I84">
        <v>46</v>
      </c>
      <c r="J84" t="s">
        <v>3440</v>
      </c>
      <c r="K84">
        <v>3</v>
      </c>
      <c r="L84">
        <v>101</v>
      </c>
      <c r="M84">
        <v>210.98</v>
      </c>
      <c r="N84" t="s">
        <v>3403</v>
      </c>
      <c r="P84">
        <v>46</v>
      </c>
      <c r="Q84" t="s">
        <v>3439</v>
      </c>
      <c r="R84" t="s">
        <v>3327</v>
      </c>
      <c r="S84">
        <v>-111</v>
      </c>
      <c r="T84">
        <v>23.69</v>
      </c>
      <c r="U84" t="s">
        <v>3327</v>
      </c>
      <c r="W84">
        <v>46</v>
      </c>
      <c r="X84" t="s">
        <v>3436</v>
      </c>
      <c r="Y84" t="s">
        <v>3326</v>
      </c>
      <c r="Z84">
        <v>-1048</v>
      </c>
      <c r="AA84">
        <v>37.39</v>
      </c>
      <c r="AB84" t="s">
        <v>3326</v>
      </c>
    </row>
    <row r="85" spans="1:28">
      <c r="A85">
        <v>47</v>
      </c>
      <c r="B85" t="s">
        <v>3436</v>
      </c>
      <c r="C85" t="s">
        <v>3326</v>
      </c>
      <c r="D85">
        <v>-1049</v>
      </c>
      <c r="F85">
        <v>37.39</v>
      </c>
      <c r="G85" t="s">
        <v>3326</v>
      </c>
      <c r="I85">
        <v>47</v>
      </c>
      <c r="J85" t="s">
        <v>3440</v>
      </c>
      <c r="K85">
        <v>3</v>
      </c>
      <c r="L85">
        <v>102</v>
      </c>
      <c r="M85">
        <v>212.29</v>
      </c>
      <c r="N85" t="s">
        <v>3403</v>
      </c>
      <c r="P85">
        <v>47</v>
      </c>
      <c r="Q85" t="s">
        <v>3439</v>
      </c>
      <c r="R85" t="s">
        <v>3327</v>
      </c>
      <c r="S85">
        <v>-115</v>
      </c>
      <c r="T85">
        <v>41.21</v>
      </c>
      <c r="U85" t="s">
        <v>3327</v>
      </c>
      <c r="W85">
        <v>47</v>
      </c>
      <c r="X85" t="s">
        <v>3436</v>
      </c>
      <c r="Y85" t="s">
        <v>3326</v>
      </c>
      <c r="Z85">
        <v>-1049</v>
      </c>
      <c r="AA85">
        <v>37.39</v>
      </c>
      <c r="AB85" t="s">
        <v>3326</v>
      </c>
    </row>
    <row r="86" spans="1:28">
      <c r="A86">
        <v>48</v>
      </c>
      <c r="B86" t="s">
        <v>3436</v>
      </c>
      <c r="C86" t="s">
        <v>3326</v>
      </c>
      <c r="D86">
        <v>-1050</v>
      </c>
      <c r="F86">
        <v>37.39</v>
      </c>
      <c r="G86" t="s">
        <v>3326</v>
      </c>
      <c r="I86">
        <v>48</v>
      </c>
      <c r="J86" t="s">
        <v>3440</v>
      </c>
      <c r="K86">
        <v>3</v>
      </c>
      <c r="L86">
        <v>201</v>
      </c>
      <c r="M86">
        <v>221.84</v>
      </c>
      <c r="N86" t="s">
        <v>3403</v>
      </c>
      <c r="P86">
        <v>48</v>
      </c>
      <c r="Q86" t="s">
        <v>3439</v>
      </c>
      <c r="R86" t="s">
        <v>3327</v>
      </c>
      <c r="S86">
        <v>-116</v>
      </c>
      <c r="T86">
        <v>56.77</v>
      </c>
      <c r="U86" t="s">
        <v>3327</v>
      </c>
      <c r="W86">
        <v>48</v>
      </c>
      <c r="X86" t="s">
        <v>3436</v>
      </c>
      <c r="Y86" t="s">
        <v>3326</v>
      </c>
      <c r="Z86">
        <v>-1050</v>
      </c>
      <c r="AA86">
        <v>37.39</v>
      </c>
      <c r="AB86" t="s">
        <v>3326</v>
      </c>
    </row>
    <row r="87" spans="1:28">
      <c r="A87">
        <v>49</v>
      </c>
      <c r="B87" t="s">
        <v>3436</v>
      </c>
      <c r="C87" t="s">
        <v>3326</v>
      </c>
      <c r="D87">
        <v>-1052</v>
      </c>
      <c r="F87">
        <v>37.39</v>
      </c>
      <c r="G87" t="s">
        <v>3326</v>
      </c>
      <c r="I87">
        <v>49</v>
      </c>
      <c r="J87" t="s">
        <v>3440</v>
      </c>
      <c r="K87">
        <v>3</v>
      </c>
      <c r="L87">
        <v>202</v>
      </c>
      <c r="M87">
        <v>223.15</v>
      </c>
      <c r="N87" t="s">
        <v>3403</v>
      </c>
      <c r="P87">
        <v>49</v>
      </c>
      <c r="Q87" t="s">
        <v>3439</v>
      </c>
      <c r="R87" t="s">
        <v>3327</v>
      </c>
      <c r="S87">
        <v>-117</v>
      </c>
      <c r="T87">
        <v>23.69</v>
      </c>
      <c r="U87" t="s">
        <v>3327</v>
      </c>
      <c r="W87">
        <v>49</v>
      </c>
      <c r="X87" t="s">
        <v>3436</v>
      </c>
      <c r="Y87" t="s">
        <v>3326</v>
      </c>
      <c r="Z87">
        <v>-1052</v>
      </c>
      <c r="AA87">
        <v>37.39</v>
      </c>
      <c r="AB87" t="s">
        <v>3326</v>
      </c>
    </row>
    <row r="88" spans="1:28">
      <c r="A88">
        <v>50</v>
      </c>
      <c r="B88" t="s">
        <v>3436</v>
      </c>
      <c r="C88" t="s">
        <v>3326</v>
      </c>
      <c r="D88">
        <v>-1053</v>
      </c>
      <c r="F88">
        <v>37.39</v>
      </c>
      <c r="G88" t="s">
        <v>3326</v>
      </c>
      <c r="I88">
        <v>50</v>
      </c>
      <c r="J88" t="s">
        <v>3440</v>
      </c>
      <c r="K88">
        <v>3</v>
      </c>
      <c r="L88">
        <v>301</v>
      </c>
      <c r="M88">
        <v>221.84</v>
      </c>
      <c r="N88" t="s">
        <v>3403</v>
      </c>
      <c r="P88">
        <v>50</v>
      </c>
      <c r="Q88" t="s">
        <v>3439</v>
      </c>
      <c r="R88" t="s">
        <v>3327</v>
      </c>
      <c r="S88">
        <v>-118</v>
      </c>
      <c r="T88">
        <v>23.69</v>
      </c>
      <c r="U88" t="s">
        <v>3327</v>
      </c>
      <c r="W88">
        <v>50</v>
      </c>
      <c r="X88" t="s">
        <v>3436</v>
      </c>
      <c r="Y88" t="s">
        <v>3326</v>
      </c>
      <c r="Z88">
        <v>-1053</v>
      </c>
      <c r="AA88">
        <v>37.39</v>
      </c>
      <c r="AB88" t="s">
        <v>3326</v>
      </c>
    </row>
    <row r="89" spans="1:28">
      <c r="A89">
        <v>51</v>
      </c>
      <c r="B89" t="s">
        <v>3436</v>
      </c>
      <c r="C89" t="s">
        <v>3326</v>
      </c>
      <c r="D89">
        <v>-1054</v>
      </c>
      <c r="F89">
        <v>37.39</v>
      </c>
      <c r="G89" t="s">
        <v>3326</v>
      </c>
      <c r="I89">
        <v>51</v>
      </c>
      <c r="J89" t="s">
        <v>3440</v>
      </c>
      <c r="K89">
        <v>3</v>
      </c>
      <c r="L89">
        <v>302</v>
      </c>
      <c r="M89">
        <v>223.15</v>
      </c>
      <c r="N89" t="s">
        <v>3403</v>
      </c>
      <c r="P89">
        <v>51</v>
      </c>
      <c r="Q89" t="s">
        <v>3439</v>
      </c>
      <c r="R89" t="s">
        <v>3327</v>
      </c>
      <c r="S89">
        <v>-119</v>
      </c>
      <c r="T89">
        <v>49.72</v>
      </c>
      <c r="U89" t="s">
        <v>3327</v>
      </c>
      <c r="W89">
        <v>51</v>
      </c>
      <c r="X89" t="s">
        <v>3436</v>
      </c>
      <c r="Y89" t="s">
        <v>3326</v>
      </c>
      <c r="Z89">
        <v>-1054</v>
      </c>
      <c r="AA89">
        <v>37.39</v>
      </c>
      <c r="AB89" t="s">
        <v>3326</v>
      </c>
    </row>
    <row r="90" spans="1:28">
      <c r="A90">
        <v>52</v>
      </c>
      <c r="B90" t="s">
        <v>3436</v>
      </c>
      <c r="C90" t="s">
        <v>3326</v>
      </c>
      <c r="D90">
        <v>-1055</v>
      </c>
      <c r="F90">
        <v>37.39</v>
      </c>
      <c r="G90" t="s">
        <v>3326</v>
      </c>
      <c r="I90">
        <v>52</v>
      </c>
      <c r="J90" t="s">
        <v>3440</v>
      </c>
      <c r="K90">
        <v>3</v>
      </c>
      <c r="L90">
        <v>401</v>
      </c>
      <c r="M90">
        <v>221.84</v>
      </c>
      <c r="N90" t="s">
        <v>3403</v>
      </c>
      <c r="P90">
        <v>52</v>
      </c>
      <c r="Q90" t="s">
        <v>3438</v>
      </c>
      <c r="R90" t="s">
        <v>3327</v>
      </c>
      <c r="S90">
        <v>-112</v>
      </c>
      <c r="T90">
        <v>23.61</v>
      </c>
      <c r="U90" t="s">
        <v>3327</v>
      </c>
      <c r="W90">
        <v>52</v>
      </c>
      <c r="X90" t="s">
        <v>3436</v>
      </c>
      <c r="Y90" t="s">
        <v>3326</v>
      </c>
      <c r="Z90">
        <v>-1055</v>
      </c>
      <c r="AA90">
        <v>37.39</v>
      </c>
      <c r="AB90" t="s">
        <v>3326</v>
      </c>
    </row>
    <row r="91" spans="1:28">
      <c r="A91">
        <v>53</v>
      </c>
      <c r="B91" t="s">
        <v>3436</v>
      </c>
      <c r="C91" t="s">
        <v>3326</v>
      </c>
      <c r="D91">
        <v>-1056</v>
      </c>
      <c r="F91">
        <v>37.39</v>
      </c>
      <c r="G91" t="s">
        <v>3326</v>
      </c>
      <c r="I91">
        <v>53</v>
      </c>
      <c r="J91" t="s">
        <v>3440</v>
      </c>
      <c r="K91">
        <v>3</v>
      </c>
      <c r="L91">
        <v>402</v>
      </c>
      <c r="M91">
        <v>223.15</v>
      </c>
      <c r="N91" t="s">
        <v>3403</v>
      </c>
      <c r="P91">
        <v>53</v>
      </c>
      <c r="Q91" t="s">
        <v>3439</v>
      </c>
      <c r="R91" t="s">
        <v>3327</v>
      </c>
      <c r="S91">
        <v>-120</v>
      </c>
      <c r="T91">
        <v>48.09</v>
      </c>
      <c r="U91" t="s">
        <v>3327</v>
      </c>
      <c r="W91">
        <v>53</v>
      </c>
      <c r="X91" t="s">
        <v>3436</v>
      </c>
      <c r="Y91" t="s">
        <v>3326</v>
      </c>
      <c r="Z91">
        <v>-1056</v>
      </c>
      <c r="AA91">
        <v>37.39</v>
      </c>
      <c r="AB91" t="s">
        <v>3326</v>
      </c>
    </row>
    <row r="92" spans="1:28">
      <c r="A92">
        <v>54</v>
      </c>
      <c r="B92" t="s">
        <v>3436</v>
      </c>
      <c r="C92" t="s">
        <v>3326</v>
      </c>
      <c r="D92">
        <v>-1057</v>
      </c>
      <c r="F92">
        <v>37.39</v>
      </c>
      <c r="G92" t="s">
        <v>3326</v>
      </c>
      <c r="I92">
        <v>54</v>
      </c>
      <c r="J92" t="s">
        <v>3438</v>
      </c>
      <c r="K92">
        <v>2</v>
      </c>
      <c r="L92">
        <v>401</v>
      </c>
      <c r="M92">
        <v>184.32</v>
      </c>
      <c r="N92" t="s">
        <v>3403</v>
      </c>
      <c r="P92">
        <v>54</v>
      </c>
      <c r="Q92" t="s">
        <v>3439</v>
      </c>
      <c r="R92" t="s">
        <v>3327</v>
      </c>
      <c r="S92">
        <v>-121</v>
      </c>
      <c r="T92">
        <v>22.85</v>
      </c>
      <c r="U92" t="s">
        <v>3327</v>
      </c>
      <c r="W92">
        <v>54</v>
      </c>
      <c r="X92" t="s">
        <v>3436</v>
      </c>
      <c r="Y92" t="s">
        <v>3326</v>
      </c>
      <c r="Z92">
        <v>-1057</v>
      </c>
      <c r="AA92">
        <v>37.39</v>
      </c>
      <c r="AB92" t="s">
        <v>3326</v>
      </c>
    </row>
    <row r="93" spans="1:28">
      <c r="A93">
        <v>55</v>
      </c>
      <c r="B93" t="s">
        <v>3436</v>
      </c>
      <c r="C93" t="s">
        <v>3326</v>
      </c>
      <c r="D93">
        <v>-1058</v>
      </c>
      <c r="F93">
        <v>37.39</v>
      </c>
      <c r="G93" t="s">
        <v>3326</v>
      </c>
      <c r="I93">
        <v>55</v>
      </c>
      <c r="J93" t="s">
        <v>3438</v>
      </c>
      <c r="K93">
        <v>2</v>
      </c>
      <c r="L93">
        <v>402</v>
      </c>
      <c r="M93">
        <v>184.82</v>
      </c>
      <c r="N93" t="s">
        <v>3403</v>
      </c>
      <c r="P93">
        <v>55</v>
      </c>
      <c r="Q93" t="s">
        <v>3439</v>
      </c>
      <c r="R93" t="s">
        <v>3327</v>
      </c>
      <c r="S93">
        <v>-122</v>
      </c>
      <c r="T93">
        <v>28.05</v>
      </c>
      <c r="U93" t="s">
        <v>3327</v>
      </c>
      <c r="W93">
        <v>55</v>
      </c>
      <c r="X93" t="s">
        <v>3436</v>
      </c>
      <c r="Y93" t="s">
        <v>3326</v>
      </c>
      <c r="Z93">
        <v>-1058</v>
      </c>
      <c r="AA93">
        <v>37.39</v>
      </c>
      <c r="AB93" t="s">
        <v>3326</v>
      </c>
    </row>
    <row r="94" spans="1:28">
      <c r="A94">
        <v>56</v>
      </c>
      <c r="B94" t="s">
        <v>3436</v>
      </c>
      <c r="C94" t="s">
        <v>3326</v>
      </c>
      <c r="D94">
        <v>-1059</v>
      </c>
      <c r="F94">
        <v>37.39</v>
      </c>
      <c r="G94" t="s">
        <v>3326</v>
      </c>
      <c r="I94">
        <v>56</v>
      </c>
      <c r="J94" t="s">
        <v>3441</v>
      </c>
      <c r="K94">
        <v>1</v>
      </c>
      <c r="L94">
        <v>101</v>
      </c>
      <c r="M94">
        <v>272.99</v>
      </c>
      <c r="N94" t="s">
        <v>3403</v>
      </c>
      <c r="P94">
        <v>56</v>
      </c>
      <c r="Q94" t="s">
        <v>3439</v>
      </c>
      <c r="R94" t="s">
        <v>3327</v>
      </c>
      <c r="S94">
        <v>-123</v>
      </c>
      <c r="T94">
        <v>27.69</v>
      </c>
      <c r="U94" t="s">
        <v>3327</v>
      </c>
      <c r="W94">
        <v>56</v>
      </c>
      <c r="X94" t="s">
        <v>3436</v>
      </c>
      <c r="Y94" t="s">
        <v>3326</v>
      </c>
      <c r="Z94">
        <v>-1059</v>
      </c>
      <c r="AA94">
        <v>37.39</v>
      </c>
      <c r="AB94" t="s">
        <v>3326</v>
      </c>
    </row>
    <row r="95" spans="1:28">
      <c r="A95">
        <v>57</v>
      </c>
      <c r="B95" t="s">
        <v>3436</v>
      </c>
      <c r="C95" t="s">
        <v>3326</v>
      </c>
      <c r="D95">
        <v>-1060</v>
      </c>
      <c r="F95">
        <v>37.39</v>
      </c>
      <c r="G95" t="s">
        <v>3326</v>
      </c>
      <c r="I95">
        <v>57</v>
      </c>
      <c r="J95" t="s">
        <v>3441</v>
      </c>
      <c r="K95">
        <v>1</v>
      </c>
      <c r="L95">
        <v>102</v>
      </c>
      <c r="M95">
        <v>271.81</v>
      </c>
      <c r="N95" t="s">
        <v>3403</v>
      </c>
      <c r="P95">
        <v>57</v>
      </c>
      <c r="Q95" t="s">
        <v>3439</v>
      </c>
      <c r="R95" t="s">
        <v>3327</v>
      </c>
      <c r="S95">
        <v>-124</v>
      </c>
      <c r="T95">
        <v>19.2</v>
      </c>
      <c r="U95" t="s">
        <v>3327</v>
      </c>
      <c r="W95">
        <v>57</v>
      </c>
      <c r="X95" t="s">
        <v>3436</v>
      </c>
      <c r="Y95" t="s">
        <v>3326</v>
      </c>
      <c r="Z95">
        <v>-1060</v>
      </c>
      <c r="AA95">
        <v>37.39</v>
      </c>
      <c r="AB95" t="s">
        <v>3326</v>
      </c>
    </row>
    <row r="96" spans="1:28">
      <c r="A96">
        <v>58</v>
      </c>
      <c r="B96" t="s">
        <v>3436</v>
      </c>
      <c r="C96" t="s">
        <v>3326</v>
      </c>
      <c r="D96">
        <v>-1061</v>
      </c>
      <c r="F96">
        <v>37.39</v>
      </c>
      <c r="G96" t="s">
        <v>3326</v>
      </c>
      <c r="I96">
        <v>58</v>
      </c>
      <c r="J96" t="s">
        <v>3441</v>
      </c>
      <c r="K96">
        <v>1</v>
      </c>
      <c r="L96">
        <v>201</v>
      </c>
      <c r="M96">
        <v>273.05</v>
      </c>
      <c r="N96" t="s">
        <v>3403</v>
      </c>
      <c r="P96">
        <v>58</v>
      </c>
      <c r="Q96" t="s">
        <v>3439</v>
      </c>
      <c r="R96" t="s">
        <v>3327</v>
      </c>
      <c r="S96">
        <v>-125</v>
      </c>
      <c r="T96">
        <v>19.2</v>
      </c>
      <c r="U96" t="s">
        <v>3327</v>
      </c>
      <c r="W96">
        <v>58</v>
      </c>
      <c r="X96" t="s">
        <v>3436</v>
      </c>
      <c r="Y96" t="s">
        <v>3326</v>
      </c>
      <c r="Z96">
        <v>-1061</v>
      </c>
      <c r="AA96">
        <v>37.39</v>
      </c>
      <c r="AB96" t="s">
        <v>3326</v>
      </c>
    </row>
    <row r="97" spans="1:28">
      <c r="A97">
        <v>59</v>
      </c>
      <c r="B97" t="s">
        <v>3436</v>
      </c>
      <c r="C97" t="s">
        <v>3326</v>
      </c>
      <c r="D97">
        <v>-1062</v>
      </c>
      <c r="F97">
        <v>37.39</v>
      </c>
      <c r="G97" t="s">
        <v>3326</v>
      </c>
      <c r="I97">
        <v>59</v>
      </c>
      <c r="J97" t="s">
        <v>3441</v>
      </c>
      <c r="K97">
        <v>1</v>
      </c>
      <c r="L97">
        <v>202</v>
      </c>
      <c r="M97">
        <v>271.88</v>
      </c>
      <c r="N97" t="s">
        <v>3403</v>
      </c>
      <c r="P97">
        <v>59</v>
      </c>
      <c r="Q97" t="s">
        <v>3439</v>
      </c>
      <c r="R97" t="s">
        <v>3327</v>
      </c>
      <c r="S97">
        <v>-126</v>
      </c>
      <c r="T97">
        <v>27.86</v>
      </c>
      <c r="U97" t="s">
        <v>3327</v>
      </c>
      <c r="W97">
        <v>59</v>
      </c>
      <c r="X97" t="s">
        <v>3436</v>
      </c>
      <c r="Y97" t="s">
        <v>3326</v>
      </c>
      <c r="Z97">
        <v>-1062</v>
      </c>
      <c r="AA97">
        <v>37.39</v>
      </c>
      <c r="AB97" t="s">
        <v>3326</v>
      </c>
    </row>
    <row r="98" spans="1:28">
      <c r="A98">
        <v>60</v>
      </c>
      <c r="B98" t="s">
        <v>3436</v>
      </c>
      <c r="C98" t="s">
        <v>3326</v>
      </c>
      <c r="D98">
        <v>-1063</v>
      </c>
      <c r="F98">
        <v>37.39</v>
      </c>
      <c r="G98" t="s">
        <v>3326</v>
      </c>
      <c r="I98">
        <v>60</v>
      </c>
      <c r="J98" t="s">
        <v>3441</v>
      </c>
      <c r="K98">
        <v>1</v>
      </c>
      <c r="L98">
        <v>301</v>
      </c>
      <c r="M98">
        <v>273.05</v>
      </c>
      <c r="N98" t="s">
        <v>3403</v>
      </c>
      <c r="P98">
        <v>60</v>
      </c>
      <c r="Q98" t="s">
        <v>3439</v>
      </c>
      <c r="R98" t="s">
        <v>3327</v>
      </c>
      <c r="S98">
        <v>-127</v>
      </c>
      <c r="T98">
        <v>27.69</v>
      </c>
      <c r="U98" t="s">
        <v>3327</v>
      </c>
      <c r="W98">
        <v>60</v>
      </c>
      <c r="X98" t="s">
        <v>3436</v>
      </c>
      <c r="Y98" t="s">
        <v>3326</v>
      </c>
      <c r="Z98">
        <v>-1063</v>
      </c>
      <c r="AA98">
        <v>37.39</v>
      </c>
      <c r="AB98" t="s">
        <v>3326</v>
      </c>
    </row>
    <row r="99" spans="1:28">
      <c r="A99">
        <v>61</v>
      </c>
      <c r="B99" t="s">
        <v>3436</v>
      </c>
      <c r="C99" t="s">
        <v>3326</v>
      </c>
      <c r="D99">
        <v>-1064</v>
      </c>
      <c r="F99">
        <v>37.39</v>
      </c>
      <c r="G99" t="s">
        <v>3326</v>
      </c>
      <c r="I99">
        <v>61</v>
      </c>
      <c r="J99" t="s">
        <v>3441</v>
      </c>
      <c r="K99">
        <v>1</v>
      </c>
      <c r="L99">
        <v>302</v>
      </c>
      <c r="M99">
        <v>271.88</v>
      </c>
      <c r="N99" t="s">
        <v>3403</v>
      </c>
      <c r="P99">
        <v>61</v>
      </c>
      <c r="Q99" t="s">
        <v>3439</v>
      </c>
      <c r="R99" t="s">
        <v>3327</v>
      </c>
      <c r="S99">
        <v>-128</v>
      </c>
      <c r="T99">
        <v>19.84</v>
      </c>
      <c r="U99" t="s">
        <v>3327</v>
      </c>
      <c r="W99">
        <v>61</v>
      </c>
      <c r="X99" t="s">
        <v>3436</v>
      </c>
      <c r="Y99" t="s">
        <v>3326</v>
      </c>
      <c r="Z99">
        <v>-1064</v>
      </c>
      <c r="AA99">
        <v>37.39</v>
      </c>
      <c r="AB99" t="s">
        <v>3326</v>
      </c>
    </row>
    <row r="100" spans="1:28">
      <c r="A100">
        <v>62</v>
      </c>
      <c r="B100" t="s">
        <v>3436</v>
      </c>
      <c r="C100" t="s">
        <v>3326</v>
      </c>
      <c r="D100">
        <v>-1065</v>
      </c>
      <c r="F100">
        <v>37.39</v>
      </c>
      <c r="G100" t="s">
        <v>3326</v>
      </c>
      <c r="I100">
        <v>62</v>
      </c>
      <c r="J100" t="s">
        <v>3441</v>
      </c>
      <c r="K100">
        <v>1</v>
      </c>
      <c r="L100">
        <v>401</v>
      </c>
      <c r="M100">
        <v>273.05</v>
      </c>
      <c r="N100" t="s">
        <v>3403</v>
      </c>
      <c r="P100">
        <v>62</v>
      </c>
      <c r="Q100" t="s">
        <v>3439</v>
      </c>
      <c r="R100" t="s">
        <v>3327</v>
      </c>
      <c r="S100">
        <v>-129</v>
      </c>
      <c r="T100">
        <v>19.84</v>
      </c>
      <c r="U100" t="s">
        <v>3327</v>
      </c>
      <c r="W100">
        <v>62</v>
      </c>
      <c r="X100" t="s">
        <v>3436</v>
      </c>
      <c r="Y100" t="s">
        <v>3326</v>
      </c>
      <c r="Z100">
        <v>-1065</v>
      </c>
      <c r="AA100">
        <v>37.39</v>
      </c>
      <c r="AB100" t="s">
        <v>3326</v>
      </c>
    </row>
    <row r="101" spans="1:28">
      <c r="A101">
        <v>63</v>
      </c>
      <c r="B101" t="s">
        <v>3436</v>
      </c>
      <c r="C101" t="s">
        <v>3326</v>
      </c>
      <c r="D101">
        <v>-1066</v>
      </c>
      <c r="F101">
        <v>37.39</v>
      </c>
      <c r="G101" t="s">
        <v>3326</v>
      </c>
      <c r="I101">
        <v>63</v>
      </c>
      <c r="J101" t="s">
        <v>3441</v>
      </c>
      <c r="K101">
        <v>1</v>
      </c>
      <c r="L101">
        <v>402</v>
      </c>
      <c r="M101">
        <v>271.88</v>
      </c>
      <c r="N101" t="s">
        <v>3403</v>
      </c>
      <c r="P101">
        <v>63</v>
      </c>
      <c r="Q101" t="s">
        <v>3438</v>
      </c>
      <c r="R101" t="s">
        <v>3327</v>
      </c>
      <c r="S101">
        <v>-113</v>
      </c>
      <c r="T101">
        <v>49.56</v>
      </c>
      <c r="U101" t="s">
        <v>3327</v>
      </c>
      <c r="W101">
        <v>63</v>
      </c>
      <c r="X101" t="s">
        <v>3436</v>
      </c>
      <c r="Y101" t="s">
        <v>3326</v>
      </c>
      <c r="Z101">
        <v>-1066</v>
      </c>
      <c r="AA101">
        <v>37.39</v>
      </c>
      <c r="AB101" t="s">
        <v>3326</v>
      </c>
    </row>
    <row r="102" spans="1:28">
      <c r="A102">
        <v>64</v>
      </c>
      <c r="B102" t="s">
        <v>3436</v>
      </c>
      <c r="C102" t="s">
        <v>3326</v>
      </c>
      <c r="D102">
        <v>-1067</v>
      </c>
      <c r="F102">
        <v>37.39</v>
      </c>
      <c r="G102" t="s">
        <v>3326</v>
      </c>
      <c r="I102">
        <v>64</v>
      </c>
      <c r="J102" t="s">
        <v>3441</v>
      </c>
      <c r="K102">
        <v>2</v>
      </c>
      <c r="L102">
        <v>101</v>
      </c>
      <c r="M102">
        <v>271.81</v>
      </c>
      <c r="N102" t="s">
        <v>3403</v>
      </c>
      <c r="P102">
        <v>64</v>
      </c>
      <c r="Q102" t="s">
        <v>3439</v>
      </c>
      <c r="R102" t="s">
        <v>3327</v>
      </c>
      <c r="S102">
        <v>-130</v>
      </c>
      <c r="T102">
        <v>27.69</v>
      </c>
      <c r="U102" t="s">
        <v>3327</v>
      </c>
      <c r="W102">
        <v>64</v>
      </c>
      <c r="X102" t="s">
        <v>3436</v>
      </c>
      <c r="Y102" t="s">
        <v>3326</v>
      </c>
      <c r="Z102">
        <v>-1067</v>
      </c>
      <c r="AA102">
        <v>37.39</v>
      </c>
      <c r="AB102" t="s">
        <v>3326</v>
      </c>
    </row>
    <row r="103" spans="1:28">
      <c r="A103">
        <v>65</v>
      </c>
      <c r="B103" t="s">
        <v>3436</v>
      </c>
      <c r="C103" t="s">
        <v>3326</v>
      </c>
      <c r="D103">
        <v>-1068</v>
      </c>
      <c r="F103">
        <v>37.39</v>
      </c>
      <c r="G103" t="s">
        <v>3326</v>
      </c>
      <c r="I103">
        <v>65</v>
      </c>
      <c r="J103" t="s">
        <v>3441</v>
      </c>
      <c r="K103">
        <v>2</v>
      </c>
      <c r="L103">
        <v>102</v>
      </c>
      <c r="M103">
        <v>272.99</v>
      </c>
      <c r="N103" t="s">
        <v>3403</v>
      </c>
      <c r="P103">
        <v>65</v>
      </c>
      <c r="Q103" t="s">
        <v>3438</v>
      </c>
      <c r="R103" t="s">
        <v>3327</v>
      </c>
      <c r="S103">
        <v>-114</v>
      </c>
      <c r="T103">
        <v>47.93</v>
      </c>
      <c r="U103" t="s">
        <v>3327</v>
      </c>
      <c r="W103">
        <v>65</v>
      </c>
      <c r="X103" t="s">
        <v>3436</v>
      </c>
      <c r="Y103" t="s">
        <v>3326</v>
      </c>
      <c r="Z103">
        <v>-1068</v>
      </c>
      <c r="AA103">
        <v>37.39</v>
      </c>
      <c r="AB103" t="s">
        <v>3326</v>
      </c>
    </row>
    <row r="104" spans="1:28">
      <c r="A104">
        <v>66</v>
      </c>
      <c r="B104" t="s">
        <v>3436</v>
      </c>
      <c r="C104" t="s">
        <v>3326</v>
      </c>
      <c r="D104">
        <v>-1069</v>
      </c>
      <c r="F104">
        <v>37.39</v>
      </c>
      <c r="G104" t="s">
        <v>3326</v>
      </c>
      <c r="I104">
        <v>66</v>
      </c>
      <c r="J104" t="s">
        <v>3441</v>
      </c>
      <c r="K104">
        <v>2</v>
      </c>
      <c r="L104">
        <v>201</v>
      </c>
      <c r="M104">
        <v>271.88</v>
      </c>
      <c r="N104" t="s">
        <v>3403</v>
      </c>
      <c r="P104">
        <v>66</v>
      </c>
      <c r="Q104" t="s">
        <v>3438</v>
      </c>
      <c r="R104" t="s">
        <v>3327</v>
      </c>
      <c r="S104">
        <v>-115</v>
      </c>
      <c r="T104">
        <v>22.61</v>
      </c>
      <c r="U104" t="s">
        <v>3327</v>
      </c>
      <c r="W104">
        <v>66</v>
      </c>
      <c r="X104" t="s">
        <v>3436</v>
      </c>
      <c r="Y104" t="s">
        <v>3326</v>
      </c>
      <c r="Z104">
        <v>-1069</v>
      </c>
      <c r="AA104">
        <v>37.39</v>
      </c>
      <c r="AB104" t="s">
        <v>3326</v>
      </c>
    </row>
    <row r="105" spans="1:28">
      <c r="A105">
        <v>67</v>
      </c>
      <c r="B105" t="s">
        <v>3436</v>
      </c>
      <c r="C105" t="s">
        <v>3326</v>
      </c>
      <c r="D105">
        <v>-1070</v>
      </c>
      <c r="F105">
        <v>37.39</v>
      </c>
      <c r="G105" t="s">
        <v>3326</v>
      </c>
      <c r="I105">
        <v>67</v>
      </c>
      <c r="J105" t="s">
        <v>3441</v>
      </c>
      <c r="K105">
        <v>2</v>
      </c>
      <c r="L105">
        <v>202</v>
      </c>
      <c r="M105">
        <v>273.05</v>
      </c>
      <c r="N105" t="s">
        <v>3403</v>
      </c>
      <c r="P105">
        <v>67</v>
      </c>
      <c r="Q105" t="s">
        <v>3438</v>
      </c>
      <c r="R105" t="s">
        <v>3327</v>
      </c>
      <c r="S105">
        <v>-116</v>
      </c>
      <c r="T105">
        <v>27.95</v>
      </c>
      <c r="U105" t="s">
        <v>3327</v>
      </c>
      <c r="W105">
        <v>67</v>
      </c>
      <c r="X105" t="s">
        <v>3436</v>
      </c>
      <c r="Y105" t="s">
        <v>3326</v>
      </c>
      <c r="Z105">
        <v>-1070</v>
      </c>
      <c r="AA105">
        <v>37.39</v>
      </c>
      <c r="AB105" t="s">
        <v>3326</v>
      </c>
    </row>
    <row r="106" spans="1:28">
      <c r="A106">
        <v>68</v>
      </c>
      <c r="B106" t="s">
        <v>3436</v>
      </c>
      <c r="C106" t="s">
        <v>3326</v>
      </c>
      <c r="D106">
        <v>-1071</v>
      </c>
      <c r="F106">
        <v>37.39</v>
      </c>
      <c r="G106" t="s">
        <v>3326</v>
      </c>
      <c r="I106">
        <v>68</v>
      </c>
      <c r="J106" t="s">
        <v>3441</v>
      </c>
      <c r="K106">
        <v>2</v>
      </c>
      <c r="L106">
        <v>301</v>
      </c>
      <c r="M106">
        <v>271.88</v>
      </c>
      <c r="N106" t="s">
        <v>3403</v>
      </c>
      <c r="P106">
        <v>68</v>
      </c>
      <c r="Q106" t="s">
        <v>3438</v>
      </c>
      <c r="R106" t="s">
        <v>3327</v>
      </c>
      <c r="S106">
        <v>-117</v>
      </c>
      <c r="T106">
        <v>27.6</v>
      </c>
      <c r="U106" t="s">
        <v>3327</v>
      </c>
      <c r="W106">
        <v>68</v>
      </c>
      <c r="X106" t="s">
        <v>3436</v>
      </c>
      <c r="Y106" t="s">
        <v>3326</v>
      </c>
      <c r="Z106">
        <v>-1071</v>
      </c>
      <c r="AA106">
        <v>37.39</v>
      </c>
      <c r="AB106" t="s">
        <v>3326</v>
      </c>
    </row>
    <row r="107" spans="1:28">
      <c r="A107">
        <v>69</v>
      </c>
      <c r="B107" t="s">
        <v>3436</v>
      </c>
      <c r="C107" t="s">
        <v>3326</v>
      </c>
      <c r="D107">
        <v>-1074</v>
      </c>
      <c r="F107">
        <v>37.39</v>
      </c>
      <c r="G107" t="s">
        <v>3326</v>
      </c>
      <c r="I107">
        <v>69</v>
      </c>
      <c r="J107" t="s">
        <v>3441</v>
      </c>
      <c r="K107">
        <v>2</v>
      </c>
      <c r="L107">
        <v>401</v>
      </c>
      <c r="M107">
        <v>271.88</v>
      </c>
      <c r="N107" t="s">
        <v>3403</v>
      </c>
      <c r="P107">
        <v>69</v>
      </c>
      <c r="Q107" t="s">
        <v>3438</v>
      </c>
      <c r="R107" t="s">
        <v>3327</v>
      </c>
      <c r="S107">
        <v>-118</v>
      </c>
      <c r="T107">
        <v>19.13</v>
      </c>
      <c r="U107" t="s">
        <v>3327</v>
      </c>
      <c r="W107">
        <v>69</v>
      </c>
      <c r="X107" t="s">
        <v>3436</v>
      </c>
      <c r="Y107" t="s">
        <v>3326</v>
      </c>
      <c r="Z107">
        <v>-1074</v>
      </c>
      <c r="AA107">
        <v>37.39</v>
      </c>
      <c r="AB107" t="s">
        <v>3326</v>
      </c>
    </row>
    <row r="108" spans="1:28">
      <c r="A108">
        <v>70</v>
      </c>
      <c r="B108" t="s">
        <v>3436</v>
      </c>
      <c r="C108" t="s">
        <v>3326</v>
      </c>
      <c r="D108">
        <v>-1075</v>
      </c>
      <c r="F108">
        <v>37.39</v>
      </c>
      <c r="G108" t="s">
        <v>3326</v>
      </c>
      <c r="I108">
        <v>70</v>
      </c>
      <c r="J108" t="s">
        <v>3442</v>
      </c>
      <c r="K108">
        <v>1</v>
      </c>
      <c r="L108">
        <v>102</v>
      </c>
      <c r="M108">
        <v>219.73</v>
      </c>
      <c r="N108" t="s">
        <v>3403</v>
      </c>
      <c r="P108">
        <v>70</v>
      </c>
      <c r="Q108" t="s">
        <v>3438</v>
      </c>
      <c r="R108" t="s">
        <v>3327</v>
      </c>
      <c r="S108">
        <v>-119</v>
      </c>
      <c r="T108">
        <v>19.13</v>
      </c>
      <c r="U108" t="s">
        <v>3327</v>
      </c>
      <c r="W108">
        <v>70</v>
      </c>
      <c r="X108" t="s">
        <v>3436</v>
      </c>
      <c r="Y108" t="s">
        <v>3326</v>
      </c>
      <c r="Z108">
        <v>-1075</v>
      </c>
      <c r="AA108">
        <v>37.39</v>
      </c>
      <c r="AB108" t="s">
        <v>3326</v>
      </c>
    </row>
    <row r="109" spans="1:28">
      <c r="A109">
        <v>71</v>
      </c>
      <c r="B109" t="s">
        <v>3436</v>
      </c>
      <c r="C109" t="s">
        <v>3326</v>
      </c>
      <c r="D109">
        <v>-1076</v>
      </c>
      <c r="F109">
        <v>37.39</v>
      </c>
      <c r="G109" t="s">
        <v>3326</v>
      </c>
      <c r="I109">
        <v>71</v>
      </c>
      <c r="J109" t="s">
        <v>3442</v>
      </c>
      <c r="K109">
        <v>1</v>
      </c>
      <c r="L109">
        <v>201</v>
      </c>
      <c r="M109">
        <v>230.81</v>
      </c>
      <c r="N109" t="s">
        <v>3403</v>
      </c>
      <c r="P109">
        <v>71</v>
      </c>
      <c r="Q109" t="s">
        <v>3438</v>
      </c>
      <c r="R109" t="s">
        <v>3327</v>
      </c>
      <c r="S109">
        <v>-120</v>
      </c>
      <c r="T109">
        <v>27.6</v>
      </c>
      <c r="U109" t="s">
        <v>3327</v>
      </c>
      <c r="W109">
        <v>71</v>
      </c>
      <c r="X109" t="s">
        <v>3436</v>
      </c>
      <c r="Y109" t="s">
        <v>3326</v>
      </c>
      <c r="Z109">
        <v>-1076</v>
      </c>
      <c r="AA109">
        <v>37.39</v>
      </c>
      <c r="AB109" t="s">
        <v>3326</v>
      </c>
    </row>
    <row r="110" spans="1:28">
      <c r="A110">
        <v>72</v>
      </c>
      <c r="B110" t="s">
        <v>3436</v>
      </c>
      <c r="C110" t="s">
        <v>3326</v>
      </c>
      <c r="D110">
        <v>-1077</v>
      </c>
      <c r="F110">
        <v>37.39</v>
      </c>
      <c r="G110" t="s">
        <v>3326</v>
      </c>
      <c r="I110">
        <v>72</v>
      </c>
      <c r="J110" t="s">
        <v>3442</v>
      </c>
      <c r="K110">
        <v>1</v>
      </c>
      <c r="L110">
        <v>202</v>
      </c>
      <c r="M110">
        <v>230.81</v>
      </c>
      <c r="N110" t="s">
        <v>3403</v>
      </c>
      <c r="P110">
        <v>72</v>
      </c>
      <c r="Q110" t="s">
        <v>3439</v>
      </c>
      <c r="R110" t="s">
        <v>3327</v>
      </c>
      <c r="S110">
        <v>-201</v>
      </c>
      <c r="T110">
        <v>12.48</v>
      </c>
      <c r="U110" t="s">
        <v>3327</v>
      </c>
      <c r="W110">
        <v>72</v>
      </c>
      <c r="X110" t="s">
        <v>3436</v>
      </c>
      <c r="Y110" t="s">
        <v>3326</v>
      </c>
      <c r="Z110">
        <v>-1077</v>
      </c>
      <c r="AA110">
        <v>37.39</v>
      </c>
      <c r="AB110" t="s">
        <v>3326</v>
      </c>
    </row>
    <row r="111" spans="1:28">
      <c r="A111">
        <v>73</v>
      </c>
      <c r="B111" t="s">
        <v>3436</v>
      </c>
      <c r="C111" t="s">
        <v>3326</v>
      </c>
      <c r="D111">
        <v>-1080</v>
      </c>
      <c r="F111">
        <v>37.39</v>
      </c>
      <c r="G111" t="s">
        <v>3326</v>
      </c>
      <c r="I111">
        <v>73</v>
      </c>
      <c r="J111" t="s">
        <v>3442</v>
      </c>
      <c r="K111">
        <v>1</v>
      </c>
      <c r="L111">
        <v>301</v>
      </c>
      <c r="M111">
        <v>230.81</v>
      </c>
      <c r="N111" t="s">
        <v>3403</v>
      </c>
      <c r="P111">
        <v>73</v>
      </c>
      <c r="Q111" t="s">
        <v>3439</v>
      </c>
      <c r="R111" t="s">
        <v>3327</v>
      </c>
      <c r="S111">
        <v>-202</v>
      </c>
      <c r="T111">
        <v>16.39</v>
      </c>
      <c r="U111" t="s">
        <v>3327</v>
      </c>
      <c r="W111">
        <v>73</v>
      </c>
      <c r="X111" t="s">
        <v>3436</v>
      </c>
      <c r="Y111" t="s">
        <v>3326</v>
      </c>
      <c r="Z111">
        <v>-1080</v>
      </c>
      <c r="AA111">
        <v>37.39</v>
      </c>
      <c r="AB111" t="s">
        <v>3326</v>
      </c>
    </row>
    <row r="112" spans="1:28">
      <c r="A112">
        <v>74</v>
      </c>
      <c r="B112" t="s">
        <v>3436</v>
      </c>
      <c r="C112" t="s">
        <v>3326</v>
      </c>
      <c r="D112">
        <v>-1081</v>
      </c>
      <c r="F112">
        <v>37.39</v>
      </c>
      <c r="G112" t="s">
        <v>3326</v>
      </c>
      <c r="I112">
        <v>74</v>
      </c>
      <c r="J112" t="s">
        <v>3442</v>
      </c>
      <c r="K112">
        <v>1</v>
      </c>
      <c r="L112">
        <v>302</v>
      </c>
      <c r="M112">
        <v>230.81</v>
      </c>
      <c r="N112" t="s">
        <v>3403</v>
      </c>
      <c r="P112">
        <v>74</v>
      </c>
      <c r="Q112" t="s">
        <v>3439</v>
      </c>
      <c r="R112" t="s">
        <v>3327</v>
      </c>
      <c r="S112">
        <v>-203</v>
      </c>
      <c r="T112">
        <v>12.42</v>
      </c>
      <c r="U112" t="s">
        <v>3327</v>
      </c>
      <c r="W112">
        <v>74</v>
      </c>
      <c r="X112" t="s">
        <v>3436</v>
      </c>
      <c r="Y112" t="s">
        <v>3326</v>
      </c>
      <c r="Z112">
        <v>-1081</v>
      </c>
      <c r="AA112">
        <v>37.39</v>
      </c>
      <c r="AB112" t="s">
        <v>3326</v>
      </c>
    </row>
    <row r="113" spans="1:28">
      <c r="A113">
        <v>75</v>
      </c>
      <c r="B113" t="s">
        <v>3436</v>
      </c>
      <c r="C113" t="s">
        <v>3326</v>
      </c>
      <c r="D113">
        <v>-1082</v>
      </c>
      <c r="F113">
        <v>37.39</v>
      </c>
      <c r="G113" t="s">
        <v>3326</v>
      </c>
      <c r="I113">
        <v>75</v>
      </c>
      <c r="J113" t="s">
        <v>3442</v>
      </c>
      <c r="K113">
        <v>1</v>
      </c>
      <c r="L113">
        <v>401</v>
      </c>
      <c r="M113">
        <v>230.81</v>
      </c>
      <c r="N113" t="s">
        <v>3403</v>
      </c>
      <c r="P113">
        <v>75</v>
      </c>
      <c r="Q113" t="s">
        <v>3439</v>
      </c>
      <c r="R113" t="s">
        <v>3327</v>
      </c>
      <c r="S113">
        <v>-205</v>
      </c>
      <c r="T113">
        <v>16.39</v>
      </c>
      <c r="U113" t="s">
        <v>3327</v>
      </c>
      <c r="W113">
        <v>75</v>
      </c>
      <c r="X113" t="s">
        <v>3436</v>
      </c>
      <c r="Y113" t="s">
        <v>3326</v>
      </c>
      <c r="Z113">
        <v>-1082</v>
      </c>
      <c r="AA113">
        <v>37.39</v>
      </c>
      <c r="AB113" t="s">
        <v>3326</v>
      </c>
    </row>
    <row r="114" spans="1:28">
      <c r="A114">
        <v>76</v>
      </c>
      <c r="B114" t="s">
        <v>3436</v>
      </c>
      <c r="C114" t="s">
        <v>3326</v>
      </c>
      <c r="D114">
        <v>-1083</v>
      </c>
      <c r="F114">
        <v>37.39</v>
      </c>
      <c r="G114" t="s">
        <v>3326</v>
      </c>
      <c r="I114">
        <v>76</v>
      </c>
      <c r="J114" t="s">
        <v>3442</v>
      </c>
      <c r="K114">
        <v>1</v>
      </c>
      <c r="L114">
        <v>402</v>
      </c>
      <c r="M114">
        <v>230.81</v>
      </c>
      <c r="N114" t="s">
        <v>3403</v>
      </c>
      <c r="P114">
        <v>76</v>
      </c>
      <c r="Q114" t="s">
        <v>3439</v>
      </c>
      <c r="R114" t="s">
        <v>3327</v>
      </c>
      <c r="S114">
        <v>-206</v>
      </c>
      <c r="T114">
        <v>17.059999999999999</v>
      </c>
      <c r="U114" t="s">
        <v>3327</v>
      </c>
      <c r="W114">
        <v>76</v>
      </c>
      <c r="X114" t="s">
        <v>3436</v>
      </c>
      <c r="Y114" t="s">
        <v>3326</v>
      </c>
      <c r="Z114">
        <v>-1083</v>
      </c>
      <c r="AA114">
        <v>37.39</v>
      </c>
      <c r="AB114" t="s">
        <v>3326</v>
      </c>
    </row>
    <row r="115" spans="1:28">
      <c r="A115">
        <v>77</v>
      </c>
      <c r="B115" t="s">
        <v>3436</v>
      </c>
      <c r="C115" t="s">
        <v>3326</v>
      </c>
      <c r="D115">
        <v>-1084</v>
      </c>
      <c r="F115">
        <v>37.39</v>
      </c>
      <c r="G115" t="s">
        <v>3326</v>
      </c>
      <c r="I115">
        <v>77</v>
      </c>
      <c r="J115" t="s">
        <v>3443</v>
      </c>
      <c r="K115">
        <v>1</v>
      </c>
      <c r="L115">
        <v>102</v>
      </c>
      <c r="M115">
        <v>272.83</v>
      </c>
      <c r="N115" t="s">
        <v>3403</v>
      </c>
      <c r="P115">
        <v>77</v>
      </c>
      <c r="Q115" t="s">
        <v>3438</v>
      </c>
      <c r="R115" t="s">
        <v>3327</v>
      </c>
      <c r="S115">
        <v>-201</v>
      </c>
      <c r="T115">
        <v>15.83</v>
      </c>
      <c r="U115" t="s">
        <v>3327</v>
      </c>
      <c r="W115">
        <v>77</v>
      </c>
      <c r="X115" t="s">
        <v>3436</v>
      </c>
      <c r="Y115" t="s">
        <v>3326</v>
      </c>
      <c r="Z115">
        <v>-1084</v>
      </c>
      <c r="AA115">
        <v>37.39</v>
      </c>
      <c r="AB115" t="s">
        <v>3326</v>
      </c>
    </row>
    <row r="116" spans="1:28">
      <c r="A116">
        <v>78</v>
      </c>
      <c r="B116" t="s">
        <v>3436</v>
      </c>
      <c r="C116" t="s">
        <v>3326</v>
      </c>
      <c r="D116">
        <v>-1085</v>
      </c>
      <c r="F116">
        <v>37.39</v>
      </c>
      <c r="G116" t="s">
        <v>3326</v>
      </c>
      <c r="I116">
        <v>78</v>
      </c>
      <c r="J116" t="s">
        <v>3443</v>
      </c>
      <c r="K116">
        <v>1</v>
      </c>
      <c r="L116">
        <v>201</v>
      </c>
      <c r="M116">
        <v>272.83999999999997</v>
      </c>
      <c r="N116" t="s">
        <v>3403</v>
      </c>
      <c r="P116">
        <v>78</v>
      </c>
      <c r="Q116" t="s">
        <v>3438</v>
      </c>
      <c r="R116" t="s">
        <v>3327</v>
      </c>
      <c r="S116">
        <v>-202</v>
      </c>
      <c r="T116">
        <v>18.309999999999999</v>
      </c>
      <c r="U116" t="s">
        <v>3327</v>
      </c>
      <c r="W116">
        <v>78</v>
      </c>
      <c r="X116" t="s">
        <v>3436</v>
      </c>
      <c r="Y116" t="s">
        <v>3326</v>
      </c>
      <c r="Z116">
        <v>-1085</v>
      </c>
      <c r="AA116">
        <v>37.39</v>
      </c>
      <c r="AB116" t="s">
        <v>3326</v>
      </c>
    </row>
    <row r="117" spans="1:28">
      <c r="A117">
        <v>79</v>
      </c>
      <c r="B117" t="s">
        <v>3436</v>
      </c>
      <c r="C117" t="s">
        <v>3326</v>
      </c>
      <c r="D117">
        <v>-1086</v>
      </c>
      <c r="F117">
        <v>37.39</v>
      </c>
      <c r="G117" t="s">
        <v>3326</v>
      </c>
      <c r="I117">
        <v>79</v>
      </c>
      <c r="J117" t="s">
        <v>3443</v>
      </c>
      <c r="K117">
        <v>1</v>
      </c>
      <c r="L117">
        <v>202</v>
      </c>
      <c r="M117">
        <v>272.89</v>
      </c>
      <c r="N117" t="s">
        <v>3403</v>
      </c>
      <c r="P117">
        <v>79</v>
      </c>
      <c r="Q117" t="s">
        <v>3438</v>
      </c>
      <c r="R117" t="s">
        <v>3327</v>
      </c>
      <c r="S117">
        <v>-203</v>
      </c>
      <c r="T117">
        <v>16.329999999999998</v>
      </c>
      <c r="U117" t="s">
        <v>3327</v>
      </c>
      <c r="W117">
        <v>79</v>
      </c>
      <c r="X117" t="s">
        <v>3436</v>
      </c>
      <c r="Y117" t="s">
        <v>3326</v>
      </c>
      <c r="Z117">
        <v>-1086</v>
      </c>
      <c r="AA117">
        <v>37.39</v>
      </c>
      <c r="AB117" t="s">
        <v>3326</v>
      </c>
    </row>
    <row r="118" spans="1:28">
      <c r="A118">
        <v>80</v>
      </c>
      <c r="B118" t="s">
        <v>3436</v>
      </c>
      <c r="C118" t="s">
        <v>3326</v>
      </c>
      <c r="D118">
        <v>-1087</v>
      </c>
      <c r="F118">
        <v>35.9</v>
      </c>
      <c r="G118" t="s">
        <v>3326</v>
      </c>
      <c r="I118">
        <v>80</v>
      </c>
      <c r="J118" t="s">
        <v>3443</v>
      </c>
      <c r="K118">
        <v>1</v>
      </c>
      <c r="L118">
        <v>301</v>
      </c>
      <c r="M118">
        <v>272.83999999999997</v>
      </c>
      <c r="N118" t="s">
        <v>3403</v>
      </c>
      <c r="P118">
        <v>80</v>
      </c>
      <c r="Q118" t="s">
        <v>3438</v>
      </c>
      <c r="R118" t="s">
        <v>3327</v>
      </c>
      <c r="S118">
        <v>-204</v>
      </c>
      <c r="T118">
        <v>12.38</v>
      </c>
      <c r="U118" t="s">
        <v>3327</v>
      </c>
      <c r="W118">
        <v>80</v>
      </c>
      <c r="X118" t="s">
        <v>3436</v>
      </c>
      <c r="Y118" t="s">
        <v>3326</v>
      </c>
      <c r="Z118">
        <v>-1087</v>
      </c>
      <c r="AA118">
        <v>35.9</v>
      </c>
      <c r="AB118" t="s">
        <v>3326</v>
      </c>
    </row>
    <row r="119" spans="1:28">
      <c r="A119">
        <v>81</v>
      </c>
      <c r="B119" t="s">
        <v>3436</v>
      </c>
      <c r="C119" t="s">
        <v>3326</v>
      </c>
      <c r="D119">
        <v>-1088</v>
      </c>
      <c r="F119">
        <v>35.9</v>
      </c>
      <c r="G119" t="s">
        <v>3326</v>
      </c>
      <c r="I119">
        <v>81</v>
      </c>
      <c r="J119" t="s">
        <v>3443</v>
      </c>
      <c r="K119">
        <v>1</v>
      </c>
      <c r="L119">
        <v>302</v>
      </c>
      <c r="M119">
        <v>272.89</v>
      </c>
      <c r="N119" t="s">
        <v>3403</v>
      </c>
      <c r="P119">
        <v>81</v>
      </c>
      <c r="Q119" t="s">
        <v>3438</v>
      </c>
      <c r="R119" t="s">
        <v>3327</v>
      </c>
      <c r="S119">
        <v>-205</v>
      </c>
      <c r="T119">
        <v>17</v>
      </c>
      <c r="U119" t="s">
        <v>3327</v>
      </c>
      <c r="W119">
        <v>81</v>
      </c>
      <c r="X119" t="s">
        <v>3436</v>
      </c>
      <c r="Y119" t="s">
        <v>3326</v>
      </c>
      <c r="Z119">
        <v>-1088</v>
      </c>
      <c r="AA119">
        <v>35.9</v>
      </c>
      <c r="AB119" t="s">
        <v>3326</v>
      </c>
    </row>
    <row r="120" spans="1:28">
      <c r="A120">
        <v>82</v>
      </c>
      <c r="B120" t="s">
        <v>3436</v>
      </c>
      <c r="C120" t="s">
        <v>3326</v>
      </c>
      <c r="D120">
        <v>-1089</v>
      </c>
      <c r="F120">
        <v>35.9</v>
      </c>
      <c r="G120" t="s">
        <v>3326</v>
      </c>
      <c r="I120">
        <v>82</v>
      </c>
      <c r="J120" t="s">
        <v>3443</v>
      </c>
      <c r="K120">
        <v>1</v>
      </c>
      <c r="L120">
        <v>402</v>
      </c>
      <c r="M120">
        <v>272.89</v>
      </c>
      <c r="N120" t="s">
        <v>3403</v>
      </c>
      <c r="P120">
        <v>82</v>
      </c>
      <c r="Q120" t="s">
        <v>3440</v>
      </c>
      <c r="R120" t="s">
        <v>3327</v>
      </c>
      <c r="S120">
        <v>-106</v>
      </c>
      <c r="T120">
        <v>34.1</v>
      </c>
      <c r="U120" t="s">
        <v>3327</v>
      </c>
      <c r="W120">
        <v>82</v>
      </c>
      <c r="X120" t="s">
        <v>3436</v>
      </c>
      <c r="Y120" t="s">
        <v>3326</v>
      </c>
      <c r="Z120">
        <v>-1089</v>
      </c>
      <c r="AA120">
        <v>35.9</v>
      </c>
      <c r="AB120" t="s">
        <v>3326</v>
      </c>
    </row>
    <row r="121" spans="1:28">
      <c r="A121">
        <v>83</v>
      </c>
      <c r="B121" t="s">
        <v>3436</v>
      </c>
      <c r="C121" t="s">
        <v>3326</v>
      </c>
      <c r="D121">
        <v>-1090</v>
      </c>
      <c r="F121">
        <v>35.9</v>
      </c>
      <c r="G121" t="s">
        <v>3326</v>
      </c>
      <c r="I121">
        <v>83</v>
      </c>
      <c r="J121" t="s">
        <v>3444</v>
      </c>
      <c r="K121">
        <v>1</v>
      </c>
      <c r="L121">
        <v>101</v>
      </c>
      <c r="M121">
        <v>272.91000000000003</v>
      </c>
      <c r="N121" t="s">
        <v>3403</v>
      </c>
      <c r="P121">
        <v>83</v>
      </c>
      <c r="Q121" t="s">
        <v>3440</v>
      </c>
      <c r="R121" t="s">
        <v>3327</v>
      </c>
      <c r="S121">
        <v>-107</v>
      </c>
      <c r="T121">
        <v>62.51</v>
      </c>
      <c r="U121" t="s">
        <v>3327</v>
      </c>
      <c r="W121">
        <v>83</v>
      </c>
      <c r="X121" t="s">
        <v>3436</v>
      </c>
      <c r="Y121" t="s">
        <v>3326</v>
      </c>
      <c r="Z121">
        <v>-1090</v>
      </c>
      <c r="AA121">
        <v>35.9</v>
      </c>
      <c r="AB121" t="s">
        <v>3326</v>
      </c>
    </row>
    <row r="122" spans="1:28">
      <c r="A122">
        <v>84</v>
      </c>
      <c r="B122" t="s">
        <v>3436</v>
      </c>
      <c r="C122" t="s">
        <v>3326</v>
      </c>
      <c r="D122">
        <v>-1091</v>
      </c>
      <c r="F122">
        <v>37.39</v>
      </c>
      <c r="G122" t="s">
        <v>3326</v>
      </c>
      <c r="I122">
        <v>84</v>
      </c>
      <c r="J122" t="s">
        <v>3444</v>
      </c>
      <c r="K122">
        <v>1</v>
      </c>
      <c r="L122">
        <v>102</v>
      </c>
      <c r="M122">
        <v>271.69</v>
      </c>
      <c r="N122" t="s">
        <v>3403</v>
      </c>
      <c r="P122">
        <v>84</v>
      </c>
      <c r="Q122" t="s">
        <v>3440</v>
      </c>
      <c r="R122" t="s">
        <v>3327</v>
      </c>
      <c r="S122">
        <v>-108</v>
      </c>
      <c r="T122">
        <v>47.4</v>
      </c>
      <c r="U122" t="s">
        <v>3327</v>
      </c>
      <c r="W122">
        <v>84</v>
      </c>
      <c r="X122" t="s">
        <v>3436</v>
      </c>
      <c r="Y122" t="s">
        <v>3326</v>
      </c>
      <c r="Z122">
        <v>-1091</v>
      </c>
      <c r="AA122">
        <v>37.39</v>
      </c>
      <c r="AB122" t="s">
        <v>3326</v>
      </c>
    </row>
    <row r="123" spans="1:28">
      <c r="A123">
        <v>85</v>
      </c>
      <c r="B123" t="s">
        <v>3436</v>
      </c>
      <c r="C123" t="s">
        <v>3326</v>
      </c>
      <c r="D123">
        <v>-1092</v>
      </c>
      <c r="F123">
        <v>37.39</v>
      </c>
      <c r="G123" t="s">
        <v>3326</v>
      </c>
      <c r="I123">
        <v>85</v>
      </c>
      <c r="J123" t="s">
        <v>3444</v>
      </c>
      <c r="K123">
        <v>1</v>
      </c>
      <c r="L123">
        <v>201</v>
      </c>
      <c r="M123">
        <v>272.97000000000003</v>
      </c>
      <c r="N123" t="s">
        <v>3403</v>
      </c>
      <c r="P123">
        <v>85</v>
      </c>
      <c r="Q123" t="s">
        <v>3440</v>
      </c>
      <c r="R123" t="s">
        <v>3327</v>
      </c>
      <c r="S123">
        <v>-109</v>
      </c>
      <c r="T123">
        <v>47.4</v>
      </c>
      <c r="U123" t="s">
        <v>3327</v>
      </c>
      <c r="W123">
        <v>85</v>
      </c>
      <c r="X123" t="s">
        <v>3436</v>
      </c>
      <c r="Y123" t="s">
        <v>3326</v>
      </c>
      <c r="Z123">
        <v>-1092</v>
      </c>
      <c r="AA123">
        <v>37.39</v>
      </c>
      <c r="AB123" t="s">
        <v>3326</v>
      </c>
    </row>
    <row r="124" spans="1:28">
      <c r="A124">
        <v>86</v>
      </c>
      <c r="B124" t="s">
        <v>3436</v>
      </c>
      <c r="C124" t="s">
        <v>3326</v>
      </c>
      <c r="D124">
        <v>-1093</v>
      </c>
      <c r="F124">
        <v>37.39</v>
      </c>
      <c r="G124" t="s">
        <v>3326</v>
      </c>
      <c r="I124">
        <v>86</v>
      </c>
      <c r="J124" t="s">
        <v>3444</v>
      </c>
      <c r="K124">
        <v>1</v>
      </c>
      <c r="L124">
        <v>202</v>
      </c>
      <c r="M124">
        <v>271.75</v>
      </c>
      <c r="N124" t="s">
        <v>3403</v>
      </c>
      <c r="P124">
        <v>86</v>
      </c>
      <c r="Q124" t="s">
        <v>3440</v>
      </c>
      <c r="R124" t="s">
        <v>3327</v>
      </c>
      <c r="S124">
        <v>-110</v>
      </c>
      <c r="T124">
        <v>62.51</v>
      </c>
      <c r="U124" t="s">
        <v>3327</v>
      </c>
      <c r="W124">
        <v>86</v>
      </c>
      <c r="X124" t="s">
        <v>3436</v>
      </c>
      <c r="Y124" t="s">
        <v>3326</v>
      </c>
      <c r="Z124">
        <v>-1093</v>
      </c>
      <c r="AA124">
        <v>37.39</v>
      </c>
      <c r="AB124" t="s">
        <v>3326</v>
      </c>
    </row>
    <row r="125" spans="1:28">
      <c r="A125">
        <v>87</v>
      </c>
      <c r="B125" t="s">
        <v>3436</v>
      </c>
      <c r="C125" t="s">
        <v>3326</v>
      </c>
      <c r="D125">
        <v>-1094</v>
      </c>
      <c r="F125">
        <v>35.9</v>
      </c>
      <c r="G125" t="s">
        <v>3326</v>
      </c>
      <c r="I125">
        <v>87</v>
      </c>
      <c r="J125" t="s">
        <v>3444</v>
      </c>
      <c r="K125">
        <v>1</v>
      </c>
      <c r="L125">
        <v>301</v>
      </c>
      <c r="M125">
        <v>272.97000000000003</v>
      </c>
      <c r="N125" t="s">
        <v>3403</v>
      </c>
      <c r="P125">
        <v>87</v>
      </c>
      <c r="Q125" t="s">
        <v>3440</v>
      </c>
      <c r="R125" t="s">
        <v>3327</v>
      </c>
      <c r="S125">
        <v>-111</v>
      </c>
      <c r="T125">
        <v>34.1</v>
      </c>
      <c r="U125" t="s">
        <v>3327</v>
      </c>
      <c r="W125">
        <v>87</v>
      </c>
      <c r="X125" t="s">
        <v>3436</v>
      </c>
      <c r="Y125" t="s">
        <v>3326</v>
      </c>
      <c r="Z125">
        <v>-1094</v>
      </c>
      <c r="AA125">
        <v>35.9</v>
      </c>
      <c r="AB125" t="s">
        <v>3326</v>
      </c>
    </row>
    <row r="126" spans="1:28">
      <c r="A126">
        <v>88</v>
      </c>
      <c r="B126" t="s">
        <v>3436</v>
      </c>
      <c r="C126" t="s">
        <v>3326</v>
      </c>
      <c r="D126">
        <v>-1095</v>
      </c>
      <c r="F126">
        <v>35.9</v>
      </c>
      <c r="G126" t="s">
        <v>3326</v>
      </c>
      <c r="I126">
        <v>88</v>
      </c>
      <c r="J126" t="s">
        <v>3444</v>
      </c>
      <c r="K126">
        <v>1</v>
      </c>
      <c r="L126">
        <v>401</v>
      </c>
      <c r="M126">
        <v>272.97000000000003</v>
      </c>
      <c r="N126" t="s">
        <v>3403</v>
      </c>
      <c r="P126">
        <v>88</v>
      </c>
      <c r="Q126" t="s">
        <v>3440</v>
      </c>
      <c r="R126" t="s">
        <v>3327</v>
      </c>
      <c r="S126">
        <v>-112</v>
      </c>
      <c r="T126">
        <v>34.1</v>
      </c>
      <c r="U126" t="s">
        <v>3327</v>
      </c>
      <c r="W126">
        <v>88</v>
      </c>
      <c r="X126" t="s">
        <v>3436</v>
      </c>
      <c r="Y126" t="s">
        <v>3326</v>
      </c>
      <c r="Z126">
        <v>-1095</v>
      </c>
      <c r="AA126">
        <v>35.9</v>
      </c>
      <c r="AB126" t="s">
        <v>3326</v>
      </c>
    </row>
    <row r="127" spans="1:28">
      <c r="A127">
        <v>89</v>
      </c>
      <c r="B127" t="s">
        <v>3436</v>
      </c>
      <c r="C127" t="s">
        <v>3326</v>
      </c>
      <c r="D127">
        <v>-1096</v>
      </c>
      <c r="F127">
        <v>37.39</v>
      </c>
      <c r="G127" t="s">
        <v>3326</v>
      </c>
      <c r="I127">
        <v>89</v>
      </c>
      <c r="J127" t="s">
        <v>3444</v>
      </c>
      <c r="K127">
        <v>1</v>
      </c>
      <c r="L127">
        <v>402</v>
      </c>
      <c r="M127">
        <v>271.75</v>
      </c>
      <c r="N127" t="s">
        <v>3403</v>
      </c>
      <c r="P127">
        <v>89</v>
      </c>
      <c r="Q127" t="s">
        <v>3440</v>
      </c>
      <c r="R127" t="s">
        <v>3327</v>
      </c>
      <c r="S127">
        <v>-113</v>
      </c>
      <c r="T127">
        <v>62.51</v>
      </c>
      <c r="U127" t="s">
        <v>3327</v>
      </c>
      <c r="W127">
        <v>89</v>
      </c>
      <c r="X127" t="s">
        <v>3436</v>
      </c>
      <c r="Y127" t="s">
        <v>3326</v>
      </c>
      <c r="Z127">
        <v>-1096</v>
      </c>
      <c r="AA127">
        <v>37.39</v>
      </c>
      <c r="AB127" t="s">
        <v>3326</v>
      </c>
    </row>
    <row r="128" spans="1:28">
      <c r="A128">
        <v>90</v>
      </c>
      <c r="B128" t="s">
        <v>3436</v>
      </c>
      <c r="C128" t="s">
        <v>3326</v>
      </c>
      <c r="D128">
        <v>-1097</v>
      </c>
      <c r="F128">
        <v>37.39</v>
      </c>
      <c r="G128" t="s">
        <v>3326</v>
      </c>
      <c r="I128">
        <v>90</v>
      </c>
      <c r="J128" t="s">
        <v>3444</v>
      </c>
      <c r="K128">
        <v>2</v>
      </c>
      <c r="L128">
        <v>101</v>
      </c>
      <c r="M128">
        <v>271.69</v>
      </c>
      <c r="N128" t="s">
        <v>3403</v>
      </c>
      <c r="P128">
        <v>90</v>
      </c>
      <c r="Q128" t="s">
        <v>3440</v>
      </c>
      <c r="R128" t="s">
        <v>3327</v>
      </c>
      <c r="S128">
        <v>-114</v>
      </c>
      <c r="T128">
        <v>47.06</v>
      </c>
      <c r="U128" t="s">
        <v>3327</v>
      </c>
      <c r="W128">
        <v>90</v>
      </c>
      <c r="X128" t="s">
        <v>3436</v>
      </c>
      <c r="Y128" t="s">
        <v>3326</v>
      </c>
      <c r="Z128">
        <v>-1097</v>
      </c>
      <c r="AA128">
        <v>37.39</v>
      </c>
      <c r="AB128" t="s">
        <v>3326</v>
      </c>
    </row>
    <row r="129" spans="1:28">
      <c r="A129">
        <v>91</v>
      </c>
      <c r="B129" t="s">
        <v>3436</v>
      </c>
      <c r="C129" t="s">
        <v>3326</v>
      </c>
      <c r="D129">
        <v>-1098</v>
      </c>
      <c r="F129">
        <v>35.9</v>
      </c>
      <c r="G129" t="s">
        <v>3326</v>
      </c>
      <c r="I129">
        <v>91</v>
      </c>
      <c r="J129" t="s">
        <v>3444</v>
      </c>
      <c r="K129">
        <v>2</v>
      </c>
      <c r="L129">
        <v>102</v>
      </c>
      <c r="M129">
        <v>272.86</v>
      </c>
      <c r="N129" t="s">
        <v>3403</v>
      </c>
      <c r="P129">
        <v>91</v>
      </c>
      <c r="Q129" t="s">
        <v>3440</v>
      </c>
      <c r="R129" t="s">
        <v>3327</v>
      </c>
      <c r="S129">
        <v>-115</v>
      </c>
      <c r="T129">
        <v>47.06</v>
      </c>
      <c r="U129" t="s">
        <v>3327</v>
      </c>
      <c r="W129">
        <v>91</v>
      </c>
      <c r="X129" t="s">
        <v>3436</v>
      </c>
      <c r="Y129" t="s">
        <v>3326</v>
      </c>
      <c r="Z129">
        <v>-1098</v>
      </c>
      <c r="AA129">
        <v>35.9</v>
      </c>
      <c r="AB129" t="s">
        <v>3326</v>
      </c>
    </row>
    <row r="130" spans="1:28">
      <c r="A130">
        <v>92</v>
      </c>
      <c r="B130" t="s">
        <v>3436</v>
      </c>
      <c r="C130" t="s">
        <v>3326</v>
      </c>
      <c r="D130">
        <v>-1099</v>
      </c>
      <c r="F130">
        <v>35.9</v>
      </c>
      <c r="G130" t="s">
        <v>3326</v>
      </c>
      <c r="I130">
        <v>92</v>
      </c>
      <c r="J130" t="s">
        <v>3444</v>
      </c>
      <c r="K130">
        <v>2</v>
      </c>
      <c r="L130">
        <v>202</v>
      </c>
      <c r="M130">
        <v>272.92</v>
      </c>
      <c r="N130" t="s">
        <v>3403</v>
      </c>
      <c r="P130">
        <v>92</v>
      </c>
      <c r="Q130" t="s">
        <v>3440</v>
      </c>
      <c r="R130" t="s">
        <v>3327</v>
      </c>
      <c r="S130">
        <v>-116</v>
      </c>
      <c r="T130">
        <v>62.51</v>
      </c>
      <c r="U130" t="s">
        <v>3327</v>
      </c>
      <c r="W130">
        <v>92</v>
      </c>
      <c r="X130" t="s">
        <v>3436</v>
      </c>
      <c r="Y130" t="s">
        <v>3326</v>
      </c>
      <c r="Z130">
        <v>-1099</v>
      </c>
      <c r="AA130">
        <v>35.9</v>
      </c>
      <c r="AB130" t="s">
        <v>3326</v>
      </c>
    </row>
    <row r="131" spans="1:28">
      <c r="A131">
        <v>93</v>
      </c>
      <c r="B131" t="s">
        <v>3436</v>
      </c>
      <c r="C131" t="s">
        <v>3326</v>
      </c>
      <c r="D131">
        <v>-1100</v>
      </c>
      <c r="F131">
        <v>35.9</v>
      </c>
      <c r="G131" t="s">
        <v>3326</v>
      </c>
      <c r="I131">
        <v>93</v>
      </c>
      <c r="J131" t="s">
        <v>3445</v>
      </c>
      <c r="K131">
        <v>1</v>
      </c>
      <c r="L131">
        <v>201</v>
      </c>
      <c r="M131">
        <v>192.53</v>
      </c>
      <c r="N131" t="s">
        <v>3403</v>
      </c>
      <c r="P131">
        <v>93</v>
      </c>
      <c r="Q131" t="s">
        <v>3440</v>
      </c>
      <c r="R131" t="s">
        <v>3327</v>
      </c>
      <c r="S131">
        <v>-117</v>
      </c>
      <c r="T131">
        <v>34.1</v>
      </c>
      <c r="U131" t="s">
        <v>3327</v>
      </c>
      <c r="W131">
        <v>93</v>
      </c>
      <c r="X131" t="s">
        <v>3436</v>
      </c>
      <c r="Y131" t="s">
        <v>3326</v>
      </c>
      <c r="Z131">
        <v>-1100</v>
      </c>
      <c r="AA131">
        <v>35.9</v>
      </c>
      <c r="AB131" t="s">
        <v>3326</v>
      </c>
    </row>
    <row r="132" spans="1:28">
      <c r="A132">
        <v>94</v>
      </c>
      <c r="B132" t="s">
        <v>3436</v>
      </c>
      <c r="C132" t="s">
        <v>3326</v>
      </c>
      <c r="D132">
        <v>-1101</v>
      </c>
      <c r="F132">
        <v>35.9</v>
      </c>
      <c r="G132" t="s">
        <v>3326</v>
      </c>
      <c r="I132">
        <v>94</v>
      </c>
      <c r="J132" t="s">
        <v>3445</v>
      </c>
      <c r="K132">
        <v>1</v>
      </c>
      <c r="L132">
        <v>301</v>
      </c>
      <c r="M132">
        <v>192.53</v>
      </c>
      <c r="N132" t="s">
        <v>3403</v>
      </c>
      <c r="P132">
        <v>94</v>
      </c>
      <c r="Q132" t="s">
        <v>3440</v>
      </c>
      <c r="R132" t="s">
        <v>3327</v>
      </c>
      <c r="S132">
        <v>-118</v>
      </c>
      <c r="T132">
        <v>34.1</v>
      </c>
      <c r="U132" t="s">
        <v>3327</v>
      </c>
      <c r="W132">
        <v>94</v>
      </c>
      <c r="X132" t="s">
        <v>3436</v>
      </c>
      <c r="Y132" t="s">
        <v>3326</v>
      </c>
      <c r="Z132">
        <v>-1101</v>
      </c>
      <c r="AA132">
        <v>35.9</v>
      </c>
      <c r="AB132" t="s">
        <v>3326</v>
      </c>
    </row>
    <row r="133" spans="1:28">
      <c r="A133">
        <v>95</v>
      </c>
      <c r="B133" t="s">
        <v>3436</v>
      </c>
      <c r="C133" t="s">
        <v>3326</v>
      </c>
      <c r="D133">
        <v>-1102</v>
      </c>
      <c r="F133">
        <v>37.39</v>
      </c>
      <c r="G133" t="s">
        <v>3326</v>
      </c>
      <c r="I133">
        <v>95</v>
      </c>
      <c r="J133" t="s">
        <v>3445</v>
      </c>
      <c r="K133">
        <v>2</v>
      </c>
      <c r="L133">
        <v>101</v>
      </c>
      <c r="M133">
        <v>168.06</v>
      </c>
      <c r="N133" t="s">
        <v>3403</v>
      </c>
      <c r="P133">
        <v>95</v>
      </c>
      <c r="Q133" t="s">
        <v>3440</v>
      </c>
      <c r="R133" t="s">
        <v>3327</v>
      </c>
      <c r="S133">
        <v>-119</v>
      </c>
      <c r="T133">
        <v>62.51</v>
      </c>
      <c r="U133" t="s">
        <v>3327</v>
      </c>
      <c r="W133">
        <v>95</v>
      </c>
      <c r="X133" t="s">
        <v>3436</v>
      </c>
      <c r="Y133" t="s">
        <v>3326</v>
      </c>
      <c r="Z133">
        <v>-1102</v>
      </c>
      <c r="AA133">
        <v>37.39</v>
      </c>
      <c r="AB133" t="s">
        <v>3326</v>
      </c>
    </row>
    <row r="134" spans="1:28">
      <c r="A134">
        <v>96</v>
      </c>
      <c r="B134" t="s">
        <v>3436</v>
      </c>
      <c r="C134" t="s">
        <v>3326</v>
      </c>
      <c r="D134">
        <v>-1103</v>
      </c>
      <c r="F134">
        <v>37.39</v>
      </c>
      <c r="G134" t="s">
        <v>3326</v>
      </c>
      <c r="I134">
        <v>96</v>
      </c>
      <c r="J134" t="s">
        <v>3445</v>
      </c>
      <c r="K134">
        <v>2</v>
      </c>
      <c r="L134">
        <v>102</v>
      </c>
      <c r="M134">
        <v>184.43</v>
      </c>
      <c r="N134" t="s">
        <v>3403</v>
      </c>
      <c r="P134">
        <v>96</v>
      </c>
      <c r="Q134" t="s">
        <v>3440</v>
      </c>
      <c r="R134" t="s">
        <v>3327</v>
      </c>
      <c r="S134">
        <v>-120</v>
      </c>
      <c r="T134">
        <v>55.87</v>
      </c>
      <c r="U134" t="s">
        <v>3327</v>
      </c>
      <c r="W134">
        <v>96</v>
      </c>
      <c r="X134" t="s">
        <v>3436</v>
      </c>
      <c r="Y134" t="s">
        <v>3326</v>
      </c>
      <c r="Z134">
        <v>-1103</v>
      </c>
      <c r="AA134">
        <v>37.39</v>
      </c>
      <c r="AB134" t="s">
        <v>3326</v>
      </c>
    </row>
    <row r="135" spans="1:28">
      <c r="A135">
        <v>97</v>
      </c>
      <c r="B135" t="s">
        <v>3436</v>
      </c>
      <c r="C135" t="s">
        <v>3326</v>
      </c>
      <c r="D135">
        <v>-1104</v>
      </c>
      <c r="F135">
        <v>55.34</v>
      </c>
      <c r="G135" t="s">
        <v>3326</v>
      </c>
      <c r="I135">
        <v>97</v>
      </c>
      <c r="J135" t="s">
        <v>3445</v>
      </c>
      <c r="K135">
        <v>2</v>
      </c>
      <c r="L135">
        <v>301</v>
      </c>
      <c r="M135">
        <v>184.47</v>
      </c>
      <c r="N135" t="s">
        <v>3403</v>
      </c>
      <c r="P135">
        <v>97</v>
      </c>
      <c r="Q135" t="s">
        <v>3440</v>
      </c>
      <c r="R135" t="s">
        <v>3327</v>
      </c>
      <c r="S135">
        <v>-121</v>
      </c>
      <c r="T135">
        <v>28.64</v>
      </c>
      <c r="U135" t="s">
        <v>3327</v>
      </c>
      <c r="W135">
        <v>97</v>
      </c>
      <c r="X135" t="s">
        <v>3436</v>
      </c>
      <c r="Y135" t="s">
        <v>3326</v>
      </c>
      <c r="Z135">
        <v>-1104</v>
      </c>
      <c r="AA135">
        <v>55.34</v>
      </c>
      <c r="AB135" t="s">
        <v>3326</v>
      </c>
    </row>
    <row r="136" spans="1:28">
      <c r="A136">
        <v>98</v>
      </c>
      <c r="B136" t="s">
        <v>3436</v>
      </c>
      <c r="C136" t="s">
        <v>3326</v>
      </c>
      <c r="D136">
        <v>-1105</v>
      </c>
      <c r="F136">
        <v>35.9</v>
      </c>
      <c r="G136" t="s">
        <v>3326</v>
      </c>
      <c r="I136">
        <v>98</v>
      </c>
      <c r="J136" t="s">
        <v>3445</v>
      </c>
      <c r="K136">
        <v>3</v>
      </c>
      <c r="L136">
        <v>101</v>
      </c>
      <c r="M136">
        <v>168.06</v>
      </c>
      <c r="N136" t="s">
        <v>3403</v>
      </c>
      <c r="P136">
        <v>98</v>
      </c>
      <c r="Q136" t="s">
        <v>3440</v>
      </c>
      <c r="R136" t="s">
        <v>3327</v>
      </c>
      <c r="S136">
        <v>-122</v>
      </c>
      <c r="T136">
        <v>22.65</v>
      </c>
      <c r="U136" t="s">
        <v>3327</v>
      </c>
      <c r="W136">
        <v>98</v>
      </c>
      <c r="X136" t="s">
        <v>3436</v>
      </c>
      <c r="Y136" t="s">
        <v>3326</v>
      </c>
      <c r="Z136">
        <v>-1105</v>
      </c>
      <c r="AA136">
        <v>35.9</v>
      </c>
      <c r="AB136" t="s">
        <v>3326</v>
      </c>
    </row>
    <row r="137" spans="1:28">
      <c r="A137">
        <v>99</v>
      </c>
      <c r="B137" t="s">
        <v>3436</v>
      </c>
      <c r="C137" t="s">
        <v>3326</v>
      </c>
      <c r="D137">
        <v>-1106</v>
      </c>
      <c r="F137">
        <v>35.9</v>
      </c>
      <c r="G137" t="s">
        <v>3326</v>
      </c>
      <c r="I137">
        <v>99</v>
      </c>
      <c r="J137" t="s">
        <v>3445</v>
      </c>
      <c r="K137">
        <v>3</v>
      </c>
      <c r="L137">
        <v>102</v>
      </c>
      <c r="M137">
        <v>192.5</v>
      </c>
      <c r="N137" t="s">
        <v>3403</v>
      </c>
      <c r="P137">
        <v>99</v>
      </c>
      <c r="Q137" t="s">
        <v>3440</v>
      </c>
      <c r="R137" t="s">
        <v>3327</v>
      </c>
      <c r="S137">
        <v>-123</v>
      </c>
      <c r="T137">
        <v>28.58</v>
      </c>
      <c r="U137" t="s">
        <v>3327</v>
      </c>
      <c r="W137">
        <v>99</v>
      </c>
      <c r="X137" t="s">
        <v>3436</v>
      </c>
      <c r="Y137" t="s">
        <v>3326</v>
      </c>
      <c r="Z137">
        <v>-1106</v>
      </c>
      <c r="AA137">
        <v>35.9</v>
      </c>
      <c r="AB137" t="s">
        <v>3326</v>
      </c>
    </row>
    <row r="138" spans="1:28">
      <c r="A138">
        <v>100</v>
      </c>
      <c r="B138" t="s">
        <v>3436</v>
      </c>
      <c r="C138" t="s">
        <v>3326</v>
      </c>
      <c r="D138">
        <v>-1107</v>
      </c>
      <c r="F138">
        <v>37.39</v>
      </c>
      <c r="G138" t="s">
        <v>3326</v>
      </c>
      <c r="I138">
        <v>100</v>
      </c>
      <c r="J138" t="s">
        <v>3445</v>
      </c>
      <c r="K138">
        <v>3</v>
      </c>
      <c r="L138">
        <v>201</v>
      </c>
      <c r="M138">
        <v>184.47</v>
      </c>
      <c r="N138" t="s">
        <v>3403</v>
      </c>
      <c r="P138">
        <v>100</v>
      </c>
      <c r="Q138" t="s">
        <v>3440</v>
      </c>
      <c r="R138" t="s">
        <v>3327</v>
      </c>
      <c r="S138">
        <v>-124</v>
      </c>
      <c r="T138">
        <v>28.58</v>
      </c>
      <c r="U138" t="s">
        <v>3327</v>
      </c>
      <c r="W138">
        <v>100</v>
      </c>
      <c r="X138" t="s">
        <v>3436</v>
      </c>
      <c r="Y138" t="s">
        <v>3326</v>
      </c>
      <c r="Z138">
        <v>-1107</v>
      </c>
      <c r="AA138">
        <v>37.39</v>
      </c>
      <c r="AB138" t="s">
        <v>3326</v>
      </c>
    </row>
    <row r="139" spans="1:28">
      <c r="A139">
        <v>101</v>
      </c>
      <c r="B139" t="s">
        <v>3436</v>
      </c>
      <c r="C139" t="s">
        <v>3326</v>
      </c>
      <c r="D139">
        <v>-1108</v>
      </c>
      <c r="F139">
        <v>37.39</v>
      </c>
      <c r="G139" t="s">
        <v>3326</v>
      </c>
      <c r="I139">
        <v>101</v>
      </c>
      <c r="J139" t="s">
        <v>3445</v>
      </c>
      <c r="K139">
        <v>3</v>
      </c>
      <c r="L139">
        <v>202</v>
      </c>
      <c r="M139">
        <v>192.53</v>
      </c>
      <c r="N139" t="s">
        <v>3403</v>
      </c>
      <c r="P139">
        <v>101</v>
      </c>
      <c r="Q139" t="s">
        <v>3440</v>
      </c>
      <c r="R139" t="s">
        <v>3327</v>
      </c>
      <c r="S139">
        <v>-125</v>
      </c>
      <c r="T139">
        <v>22.34</v>
      </c>
      <c r="U139" t="s">
        <v>3327</v>
      </c>
      <c r="W139">
        <v>101</v>
      </c>
      <c r="X139" t="s">
        <v>3436</v>
      </c>
      <c r="Y139" t="s">
        <v>3326</v>
      </c>
      <c r="Z139">
        <v>-1108</v>
      </c>
      <c r="AA139">
        <v>37.39</v>
      </c>
      <c r="AB139" t="s">
        <v>3326</v>
      </c>
    </row>
    <row r="140" spans="1:28">
      <c r="A140">
        <v>102</v>
      </c>
      <c r="B140" t="s">
        <v>3436</v>
      </c>
      <c r="C140" t="s">
        <v>3326</v>
      </c>
      <c r="D140">
        <v>-1109</v>
      </c>
      <c r="F140">
        <v>35.9</v>
      </c>
      <c r="G140" t="s">
        <v>3326</v>
      </c>
      <c r="I140">
        <v>102</v>
      </c>
      <c r="J140" t="s">
        <v>3445</v>
      </c>
      <c r="K140">
        <v>3</v>
      </c>
      <c r="L140">
        <v>301</v>
      </c>
      <c r="M140">
        <v>184.47</v>
      </c>
      <c r="N140" t="s">
        <v>3403</v>
      </c>
      <c r="P140">
        <v>102</v>
      </c>
      <c r="Q140" t="s">
        <v>3440</v>
      </c>
      <c r="R140" t="s">
        <v>3327</v>
      </c>
      <c r="S140">
        <v>-126</v>
      </c>
      <c r="T140">
        <v>43.21</v>
      </c>
      <c r="U140" t="s">
        <v>3327</v>
      </c>
      <c r="W140">
        <v>102</v>
      </c>
      <c r="X140" t="s">
        <v>3436</v>
      </c>
      <c r="Y140" t="s">
        <v>3326</v>
      </c>
      <c r="Z140">
        <v>-1109</v>
      </c>
      <c r="AA140">
        <v>35.9</v>
      </c>
      <c r="AB140" t="s">
        <v>3326</v>
      </c>
    </row>
    <row r="141" spans="1:28">
      <c r="A141">
        <v>103</v>
      </c>
      <c r="B141" t="s">
        <v>3436</v>
      </c>
      <c r="C141" t="s">
        <v>3326</v>
      </c>
      <c r="D141">
        <v>-1110</v>
      </c>
      <c r="F141">
        <v>35.9</v>
      </c>
      <c r="G141" t="s">
        <v>3326</v>
      </c>
      <c r="I141">
        <v>103</v>
      </c>
      <c r="J141" t="s">
        <v>3445</v>
      </c>
      <c r="K141">
        <v>3</v>
      </c>
      <c r="L141">
        <v>302</v>
      </c>
      <c r="M141">
        <v>192.53</v>
      </c>
      <c r="N141" t="s">
        <v>3403</v>
      </c>
      <c r="P141">
        <v>103</v>
      </c>
      <c r="Q141" t="s">
        <v>3440</v>
      </c>
      <c r="R141" t="s">
        <v>3327</v>
      </c>
      <c r="S141">
        <v>-127</v>
      </c>
      <c r="T141">
        <v>43.12</v>
      </c>
      <c r="U141" t="s">
        <v>3327</v>
      </c>
      <c r="W141">
        <v>103</v>
      </c>
      <c r="X141" t="s">
        <v>3436</v>
      </c>
      <c r="Y141" t="s">
        <v>3326</v>
      </c>
      <c r="Z141">
        <v>-1110</v>
      </c>
      <c r="AA141">
        <v>35.9</v>
      </c>
      <c r="AB141" t="s">
        <v>3326</v>
      </c>
    </row>
    <row r="142" spans="1:28">
      <c r="A142">
        <v>104</v>
      </c>
      <c r="B142" t="s">
        <v>3436</v>
      </c>
      <c r="C142" t="s">
        <v>3326</v>
      </c>
      <c r="D142">
        <v>-1111</v>
      </c>
      <c r="F142">
        <v>35.9</v>
      </c>
      <c r="G142" t="s">
        <v>3326</v>
      </c>
      <c r="I142">
        <v>104</v>
      </c>
      <c r="J142" t="s">
        <v>3445</v>
      </c>
      <c r="K142">
        <v>3</v>
      </c>
      <c r="L142">
        <v>401</v>
      </c>
      <c r="M142">
        <v>184.47</v>
      </c>
      <c r="N142" t="s">
        <v>3403</v>
      </c>
      <c r="P142">
        <v>104</v>
      </c>
      <c r="Q142" t="s">
        <v>3440</v>
      </c>
      <c r="R142" t="s">
        <v>3327</v>
      </c>
      <c r="S142">
        <v>-202</v>
      </c>
      <c r="T142">
        <v>19.97</v>
      </c>
      <c r="U142" t="s">
        <v>3327</v>
      </c>
      <c r="W142">
        <v>104</v>
      </c>
      <c r="X142" t="s">
        <v>3436</v>
      </c>
      <c r="Y142" t="s">
        <v>3326</v>
      </c>
      <c r="Z142">
        <v>-1111</v>
      </c>
      <c r="AA142">
        <v>35.9</v>
      </c>
      <c r="AB142" t="s">
        <v>3326</v>
      </c>
    </row>
    <row r="143" spans="1:28">
      <c r="A143">
        <v>105</v>
      </c>
      <c r="B143" t="s">
        <v>3436</v>
      </c>
      <c r="C143" t="s">
        <v>3326</v>
      </c>
      <c r="D143">
        <v>-1112</v>
      </c>
      <c r="F143">
        <v>35.9</v>
      </c>
      <c r="G143" t="s">
        <v>3326</v>
      </c>
      <c r="I143">
        <v>105</v>
      </c>
      <c r="J143" t="s">
        <v>3445</v>
      </c>
      <c r="K143">
        <v>3</v>
      </c>
      <c r="L143">
        <v>402</v>
      </c>
      <c r="M143">
        <v>192.53</v>
      </c>
      <c r="N143" t="s">
        <v>3403</v>
      </c>
      <c r="P143">
        <v>105</v>
      </c>
      <c r="Q143" t="s">
        <v>3440</v>
      </c>
      <c r="R143" t="s">
        <v>3327</v>
      </c>
      <c r="S143">
        <v>-203</v>
      </c>
      <c r="T143">
        <v>19.97</v>
      </c>
      <c r="U143" t="s">
        <v>3327</v>
      </c>
      <c r="W143">
        <v>105</v>
      </c>
      <c r="X143" t="s">
        <v>3436</v>
      </c>
      <c r="Y143" t="s">
        <v>3326</v>
      </c>
      <c r="Z143">
        <v>-1112</v>
      </c>
      <c r="AA143">
        <v>35.9</v>
      </c>
      <c r="AB143" t="s">
        <v>3326</v>
      </c>
    </row>
    <row r="144" spans="1:28">
      <c r="A144">
        <v>106</v>
      </c>
      <c r="B144" t="s">
        <v>3436</v>
      </c>
      <c r="C144" t="s">
        <v>3326</v>
      </c>
      <c r="D144">
        <v>-1115</v>
      </c>
      <c r="F144">
        <v>37.39</v>
      </c>
      <c r="G144" t="s">
        <v>3326</v>
      </c>
      <c r="I144">
        <v>106</v>
      </c>
      <c r="J144" t="s">
        <v>3446</v>
      </c>
      <c r="K144">
        <v>1</v>
      </c>
      <c r="L144">
        <v>101</v>
      </c>
      <c r="M144">
        <v>272.91000000000003</v>
      </c>
      <c r="N144" t="s">
        <v>3403</v>
      </c>
      <c r="P144">
        <v>106</v>
      </c>
      <c r="Q144" t="s">
        <v>3440</v>
      </c>
      <c r="R144" t="s">
        <v>3327</v>
      </c>
      <c r="S144">
        <v>-204</v>
      </c>
      <c r="T144">
        <v>19.97</v>
      </c>
      <c r="U144" t="s">
        <v>3327</v>
      </c>
      <c r="W144">
        <v>106</v>
      </c>
      <c r="X144" t="s">
        <v>3436</v>
      </c>
      <c r="Y144" t="s">
        <v>3326</v>
      </c>
      <c r="Z144">
        <v>-1115</v>
      </c>
      <c r="AA144">
        <v>37.39</v>
      </c>
      <c r="AB144" t="s">
        <v>3326</v>
      </c>
    </row>
    <row r="145" spans="1:28">
      <c r="A145">
        <v>107</v>
      </c>
      <c r="B145" t="s">
        <v>3436</v>
      </c>
      <c r="C145" t="s">
        <v>3326</v>
      </c>
      <c r="D145">
        <v>-1116</v>
      </c>
      <c r="F145">
        <v>37.39</v>
      </c>
      <c r="G145" t="s">
        <v>3326</v>
      </c>
      <c r="I145">
        <v>107</v>
      </c>
      <c r="J145" t="s">
        <v>3446</v>
      </c>
      <c r="K145">
        <v>1</v>
      </c>
      <c r="L145">
        <v>102</v>
      </c>
      <c r="M145">
        <v>271.73</v>
      </c>
      <c r="N145" t="s">
        <v>3403</v>
      </c>
      <c r="P145">
        <v>107</v>
      </c>
      <c r="Q145" t="s">
        <v>3440</v>
      </c>
      <c r="R145" t="s">
        <v>3327</v>
      </c>
      <c r="S145">
        <v>-205</v>
      </c>
      <c r="T145">
        <v>19.97</v>
      </c>
      <c r="U145" t="s">
        <v>3327</v>
      </c>
      <c r="W145">
        <v>107</v>
      </c>
      <c r="X145" t="s">
        <v>3436</v>
      </c>
      <c r="Y145" t="s">
        <v>3326</v>
      </c>
      <c r="Z145">
        <v>-1116</v>
      </c>
      <c r="AA145">
        <v>37.39</v>
      </c>
      <c r="AB145" t="s">
        <v>3326</v>
      </c>
    </row>
    <row r="146" spans="1:28">
      <c r="A146">
        <v>108</v>
      </c>
      <c r="B146" t="s">
        <v>3436</v>
      </c>
      <c r="C146" t="s">
        <v>3326</v>
      </c>
      <c r="D146">
        <v>-1117</v>
      </c>
      <c r="F146">
        <v>37.39</v>
      </c>
      <c r="G146" t="s">
        <v>3326</v>
      </c>
      <c r="I146">
        <v>108</v>
      </c>
      <c r="J146" t="s">
        <v>3446</v>
      </c>
      <c r="K146">
        <v>1</v>
      </c>
      <c r="L146">
        <v>202</v>
      </c>
      <c r="M146">
        <v>271.8</v>
      </c>
      <c r="N146" t="s">
        <v>3403</v>
      </c>
      <c r="P146">
        <v>108</v>
      </c>
      <c r="Q146" t="s">
        <v>3440</v>
      </c>
      <c r="R146" t="s">
        <v>3327</v>
      </c>
      <c r="S146">
        <v>-206</v>
      </c>
      <c r="T146">
        <v>19.97</v>
      </c>
      <c r="U146" t="s">
        <v>3327</v>
      </c>
      <c r="W146">
        <v>108</v>
      </c>
      <c r="X146" t="s">
        <v>3436</v>
      </c>
      <c r="Y146" t="s">
        <v>3326</v>
      </c>
      <c r="Z146">
        <v>-1117</v>
      </c>
      <c r="AA146">
        <v>37.39</v>
      </c>
      <c r="AB146" t="s">
        <v>3326</v>
      </c>
    </row>
    <row r="147" spans="1:28">
      <c r="A147">
        <v>109</v>
      </c>
      <c r="B147" t="s">
        <v>3436</v>
      </c>
      <c r="C147" t="s">
        <v>3326</v>
      </c>
      <c r="D147">
        <v>-1119</v>
      </c>
      <c r="F147">
        <v>37.39</v>
      </c>
      <c r="G147" t="s">
        <v>3326</v>
      </c>
      <c r="I147">
        <v>109</v>
      </c>
      <c r="J147" t="s">
        <v>3446</v>
      </c>
      <c r="K147">
        <v>1</v>
      </c>
      <c r="L147">
        <v>402</v>
      </c>
      <c r="M147">
        <v>271.8</v>
      </c>
      <c r="N147" t="s">
        <v>3403</v>
      </c>
      <c r="P147">
        <v>109</v>
      </c>
      <c r="Q147" t="s">
        <v>3441</v>
      </c>
      <c r="R147" t="s">
        <v>3327</v>
      </c>
      <c r="S147">
        <v>-101</v>
      </c>
      <c r="T147">
        <v>15.1</v>
      </c>
      <c r="U147" t="s">
        <v>3327</v>
      </c>
      <c r="W147">
        <v>109</v>
      </c>
      <c r="X147" t="s">
        <v>3436</v>
      </c>
      <c r="Y147" t="s">
        <v>3326</v>
      </c>
      <c r="Z147">
        <v>-1119</v>
      </c>
      <c r="AA147">
        <v>37.39</v>
      </c>
      <c r="AB147" t="s">
        <v>3326</v>
      </c>
    </row>
    <row r="148" spans="1:28">
      <c r="A148">
        <v>110</v>
      </c>
      <c r="B148" t="s">
        <v>3436</v>
      </c>
      <c r="C148" t="s">
        <v>3326</v>
      </c>
      <c r="D148">
        <v>-1120</v>
      </c>
      <c r="F148">
        <v>37.39</v>
      </c>
      <c r="G148" t="s">
        <v>3326</v>
      </c>
      <c r="I148">
        <v>110</v>
      </c>
      <c r="J148" t="s">
        <v>3446</v>
      </c>
      <c r="K148">
        <v>2</v>
      </c>
      <c r="L148">
        <v>101</v>
      </c>
      <c r="M148">
        <v>271.73</v>
      </c>
      <c r="N148" t="s">
        <v>3403</v>
      </c>
      <c r="P148">
        <v>110</v>
      </c>
      <c r="Q148" t="s">
        <v>3441</v>
      </c>
      <c r="R148" t="s">
        <v>3327</v>
      </c>
      <c r="S148">
        <v>-102</v>
      </c>
      <c r="T148">
        <v>42.4</v>
      </c>
      <c r="U148" t="s">
        <v>3327</v>
      </c>
      <c r="W148">
        <v>110</v>
      </c>
      <c r="X148" t="s">
        <v>3436</v>
      </c>
      <c r="Y148" t="s">
        <v>3326</v>
      </c>
      <c r="Z148">
        <v>-1120</v>
      </c>
      <c r="AA148">
        <v>37.39</v>
      </c>
      <c r="AB148" t="s">
        <v>3326</v>
      </c>
    </row>
    <row r="149" spans="1:28">
      <c r="A149">
        <v>111</v>
      </c>
      <c r="B149" t="s">
        <v>3436</v>
      </c>
      <c r="C149" t="s">
        <v>3326</v>
      </c>
      <c r="D149">
        <v>-1121</v>
      </c>
      <c r="F149">
        <v>37.39</v>
      </c>
      <c r="G149" t="s">
        <v>3326</v>
      </c>
      <c r="I149">
        <v>111</v>
      </c>
      <c r="J149" t="s">
        <v>3446</v>
      </c>
      <c r="K149">
        <v>2</v>
      </c>
      <c r="L149">
        <v>102</v>
      </c>
      <c r="M149">
        <v>272.91000000000003</v>
      </c>
      <c r="N149" t="s">
        <v>3403</v>
      </c>
      <c r="P149">
        <v>111</v>
      </c>
      <c r="Q149" t="s">
        <v>3441</v>
      </c>
      <c r="R149" t="s">
        <v>3327</v>
      </c>
      <c r="S149">
        <v>-103</v>
      </c>
      <c r="T149">
        <v>47.18</v>
      </c>
      <c r="U149" t="s">
        <v>3327</v>
      </c>
      <c r="W149">
        <v>111</v>
      </c>
      <c r="X149" t="s">
        <v>3436</v>
      </c>
      <c r="Y149" t="s">
        <v>3326</v>
      </c>
      <c r="Z149">
        <v>-1121</v>
      </c>
      <c r="AA149">
        <v>37.39</v>
      </c>
      <c r="AB149" t="s">
        <v>3326</v>
      </c>
    </row>
    <row r="150" spans="1:28">
      <c r="A150">
        <v>112</v>
      </c>
      <c r="B150" t="s">
        <v>3436</v>
      </c>
      <c r="C150" t="s">
        <v>3326</v>
      </c>
      <c r="D150">
        <v>-1123</v>
      </c>
      <c r="F150">
        <v>37.39</v>
      </c>
      <c r="G150" t="s">
        <v>3326</v>
      </c>
      <c r="I150">
        <v>112</v>
      </c>
      <c r="J150" t="s">
        <v>3446</v>
      </c>
      <c r="K150">
        <v>2</v>
      </c>
      <c r="L150">
        <v>201</v>
      </c>
      <c r="M150">
        <v>271.8</v>
      </c>
      <c r="N150" t="s">
        <v>3403</v>
      </c>
      <c r="P150">
        <v>112</v>
      </c>
      <c r="Q150" t="s">
        <v>3441</v>
      </c>
      <c r="R150" t="s">
        <v>3327</v>
      </c>
      <c r="S150">
        <v>-104</v>
      </c>
      <c r="T150">
        <v>62.35</v>
      </c>
      <c r="U150" t="s">
        <v>3327</v>
      </c>
      <c r="W150">
        <v>112</v>
      </c>
      <c r="X150" t="s">
        <v>3436</v>
      </c>
      <c r="Y150" t="s">
        <v>3326</v>
      </c>
      <c r="Z150">
        <v>-1123</v>
      </c>
      <c r="AA150">
        <v>37.39</v>
      </c>
      <c r="AB150" t="s">
        <v>3326</v>
      </c>
    </row>
    <row r="151" spans="1:28">
      <c r="A151">
        <v>113</v>
      </c>
      <c r="B151" t="s">
        <v>3436</v>
      </c>
      <c r="C151" t="s">
        <v>3326</v>
      </c>
      <c r="D151">
        <v>-1124</v>
      </c>
      <c r="F151">
        <v>37.39</v>
      </c>
      <c r="G151" t="s">
        <v>3326</v>
      </c>
      <c r="I151">
        <v>113</v>
      </c>
      <c r="J151" t="s">
        <v>3446</v>
      </c>
      <c r="K151">
        <v>2</v>
      </c>
      <c r="L151">
        <v>301</v>
      </c>
      <c r="M151">
        <v>271.8</v>
      </c>
      <c r="N151" t="s">
        <v>3403</v>
      </c>
      <c r="P151">
        <v>113</v>
      </c>
      <c r="Q151" t="s">
        <v>3441</v>
      </c>
      <c r="R151" t="s">
        <v>3327</v>
      </c>
      <c r="S151">
        <v>-105</v>
      </c>
      <c r="T151">
        <v>61.39</v>
      </c>
      <c r="U151" t="s">
        <v>3327</v>
      </c>
      <c r="W151">
        <v>113</v>
      </c>
      <c r="X151" t="s">
        <v>3436</v>
      </c>
      <c r="Y151" t="s">
        <v>3326</v>
      </c>
      <c r="Z151">
        <v>-1124</v>
      </c>
      <c r="AA151">
        <v>37.39</v>
      </c>
      <c r="AB151" t="s">
        <v>3326</v>
      </c>
    </row>
    <row r="152" spans="1:28">
      <c r="A152">
        <v>114</v>
      </c>
      <c r="B152" t="s">
        <v>3436</v>
      </c>
      <c r="C152" t="s">
        <v>3326</v>
      </c>
      <c r="D152">
        <v>-1127</v>
      </c>
      <c r="F152">
        <v>37.39</v>
      </c>
      <c r="G152" t="s">
        <v>3326</v>
      </c>
      <c r="I152">
        <v>114</v>
      </c>
      <c r="J152" t="s">
        <v>3447</v>
      </c>
      <c r="K152">
        <v>1</v>
      </c>
      <c r="L152">
        <v>102</v>
      </c>
      <c r="M152">
        <v>210.91</v>
      </c>
      <c r="N152" t="s">
        <v>3403</v>
      </c>
      <c r="P152">
        <v>114</v>
      </c>
      <c r="Q152" t="s">
        <v>3441</v>
      </c>
      <c r="R152" t="s">
        <v>3327</v>
      </c>
      <c r="S152">
        <v>-106</v>
      </c>
      <c r="T152">
        <v>61.39</v>
      </c>
      <c r="U152" t="s">
        <v>3327</v>
      </c>
      <c r="W152">
        <v>114</v>
      </c>
      <c r="X152" t="s">
        <v>3436</v>
      </c>
      <c r="Y152" t="s">
        <v>3326</v>
      </c>
      <c r="Z152">
        <v>-1127</v>
      </c>
      <c r="AA152">
        <v>37.39</v>
      </c>
      <c r="AB152" t="s">
        <v>3326</v>
      </c>
    </row>
    <row r="153" spans="1:28">
      <c r="A153">
        <v>115</v>
      </c>
      <c r="B153" t="s">
        <v>3436</v>
      </c>
      <c r="C153" t="s">
        <v>3326</v>
      </c>
      <c r="D153">
        <v>-1128</v>
      </c>
      <c r="F153">
        <v>37.39</v>
      </c>
      <c r="G153" t="s">
        <v>3326</v>
      </c>
      <c r="I153">
        <v>115</v>
      </c>
      <c r="J153" t="s">
        <v>3447</v>
      </c>
      <c r="K153">
        <v>1</v>
      </c>
      <c r="L153">
        <v>201</v>
      </c>
      <c r="M153">
        <v>230.81</v>
      </c>
      <c r="N153" t="s">
        <v>3403</v>
      </c>
      <c r="P153">
        <v>115</v>
      </c>
      <c r="Q153" t="s">
        <v>3441</v>
      </c>
      <c r="R153" t="s">
        <v>3327</v>
      </c>
      <c r="S153">
        <v>-107</v>
      </c>
      <c r="T153">
        <v>62.35</v>
      </c>
      <c r="U153" t="s">
        <v>3327</v>
      </c>
      <c r="W153">
        <v>115</v>
      </c>
      <c r="X153" t="s">
        <v>3436</v>
      </c>
      <c r="Y153" t="s">
        <v>3326</v>
      </c>
      <c r="Z153">
        <v>-1128</v>
      </c>
      <c r="AA153">
        <v>37.39</v>
      </c>
      <c r="AB153" t="s">
        <v>3326</v>
      </c>
    </row>
    <row r="154" spans="1:28">
      <c r="A154">
        <v>116</v>
      </c>
      <c r="B154" t="s">
        <v>3436</v>
      </c>
      <c r="C154" t="s">
        <v>3326</v>
      </c>
      <c r="D154">
        <v>-1129</v>
      </c>
      <c r="F154">
        <v>37.39</v>
      </c>
      <c r="G154" t="s">
        <v>3326</v>
      </c>
      <c r="I154">
        <v>116</v>
      </c>
      <c r="J154" t="s">
        <v>3447</v>
      </c>
      <c r="K154">
        <v>1</v>
      </c>
      <c r="L154">
        <v>202</v>
      </c>
      <c r="M154">
        <v>221.77</v>
      </c>
      <c r="N154" t="s">
        <v>3403</v>
      </c>
      <c r="P154">
        <v>116</v>
      </c>
      <c r="Q154" t="s">
        <v>3441</v>
      </c>
      <c r="R154" t="s">
        <v>3327</v>
      </c>
      <c r="S154">
        <v>-108</v>
      </c>
      <c r="T154">
        <v>47.18</v>
      </c>
      <c r="U154" t="s">
        <v>3327</v>
      </c>
      <c r="W154">
        <v>116</v>
      </c>
      <c r="X154" t="s">
        <v>3436</v>
      </c>
      <c r="Y154" t="s">
        <v>3326</v>
      </c>
      <c r="Z154">
        <v>-1129</v>
      </c>
      <c r="AA154">
        <v>37.39</v>
      </c>
      <c r="AB154" t="s">
        <v>3326</v>
      </c>
    </row>
    <row r="155" spans="1:28">
      <c r="A155">
        <v>117</v>
      </c>
      <c r="B155" t="s">
        <v>3436</v>
      </c>
      <c r="C155" t="s">
        <v>3326</v>
      </c>
      <c r="D155">
        <v>-1130</v>
      </c>
      <c r="F155">
        <v>37.39</v>
      </c>
      <c r="G155" t="s">
        <v>3326</v>
      </c>
      <c r="I155">
        <v>117</v>
      </c>
      <c r="J155" t="s">
        <v>3447</v>
      </c>
      <c r="K155">
        <v>1</v>
      </c>
      <c r="L155">
        <v>302</v>
      </c>
      <c r="M155">
        <v>221.77</v>
      </c>
      <c r="N155" t="s">
        <v>3403</v>
      </c>
      <c r="P155">
        <v>117</v>
      </c>
      <c r="Q155" t="s">
        <v>3441</v>
      </c>
      <c r="R155" t="s">
        <v>3327</v>
      </c>
      <c r="S155">
        <v>-109</v>
      </c>
      <c r="T155">
        <v>42.77</v>
      </c>
      <c r="U155" t="s">
        <v>3327</v>
      </c>
      <c r="W155">
        <v>117</v>
      </c>
      <c r="X155" t="s">
        <v>3436</v>
      </c>
      <c r="Y155" t="s">
        <v>3326</v>
      </c>
      <c r="Z155">
        <v>-1130</v>
      </c>
      <c r="AA155">
        <v>37.39</v>
      </c>
      <c r="AB155" t="s">
        <v>3326</v>
      </c>
    </row>
    <row r="156" spans="1:28">
      <c r="A156">
        <v>118</v>
      </c>
      <c r="B156" t="s">
        <v>3436</v>
      </c>
      <c r="C156" t="s">
        <v>3326</v>
      </c>
      <c r="D156">
        <v>-1131</v>
      </c>
      <c r="F156">
        <v>37.39</v>
      </c>
      <c r="G156" t="s">
        <v>3326</v>
      </c>
      <c r="I156">
        <v>118</v>
      </c>
      <c r="J156" t="s">
        <v>3447</v>
      </c>
      <c r="K156">
        <v>1</v>
      </c>
      <c r="L156">
        <v>402</v>
      </c>
      <c r="M156">
        <v>221.77</v>
      </c>
      <c r="N156" t="s">
        <v>3403</v>
      </c>
      <c r="P156">
        <v>118</v>
      </c>
      <c r="Q156" t="s">
        <v>3441</v>
      </c>
      <c r="R156" t="s">
        <v>3327</v>
      </c>
      <c r="S156">
        <v>-110</v>
      </c>
      <c r="T156">
        <v>42.77</v>
      </c>
      <c r="U156" t="s">
        <v>3327</v>
      </c>
      <c r="W156">
        <v>118</v>
      </c>
      <c r="X156" t="s">
        <v>3436</v>
      </c>
      <c r="Y156" t="s">
        <v>3326</v>
      </c>
      <c r="Z156">
        <v>-1131</v>
      </c>
      <c r="AA156">
        <v>37.39</v>
      </c>
      <c r="AB156" t="s">
        <v>3326</v>
      </c>
    </row>
    <row r="157" spans="1:28">
      <c r="A157">
        <v>119</v>
      </c>
      <c r="B157" t="s">
        <v>3436</v>
      </c>
      <c r="C157" t="s">
        <v>3326</v>
      </c>
      <c r="D157">
        <v>-1132</v>
      </c>
      <c r="F157">
        <v>37.39</v>
      </c>
      <c r="G157" t="s">
        <v>3326</v>
      </c>
      <c r="I157">
        <v>119</v>
      </c>
      <c r="J157" t="s">
        <v>3447</v>
      </c>
      <c r="K157">
        <v>2</v>
      </c>
      <c r="L157">
        <v>101</v>
      </c>
      <c r="M157">
        <v>210.91</v>
      </c>
      <c r="N157" t="s">
        <v>3403</v>
      </c>
      <c r="P157">
        <v>119</v>
      </c>
      <c r="Q157" t="s">
        <v>3441</v>
      </c>
      <c r="R157" t="s">
        <v>3327</v>
      </c>
      <c r="S157">
        <v>-111</v>
      </c>
      <c r="T157">
        <v>47.18</v>
      </c>
      <c r="U157" t="s">
        <v>3327</v>
      </c>
      <c r="W157">
        <v>119</v>
      </c>
      <c r="X157" t="s">
        <v>3436</v>
      </c>
      <c r="Y157" t="s">
        <v>3326</v>
      </c>
      <c r="Z157">
        <v>-1132</v>
      </c>
      <c r="AA157">
        <v>37.39</v>
      </c>
      <c r="AB157" t="s">
        <v>3326</v>
      </c>
    </row>
    <row r="158" spans="1:28">
      <c r="A158">
        <v>120</v>
      </c>
      <c r="B158" t="s">
        <v>3436</v>
      </c>
      <c r="C158" t="s">
        <v>3326</v>
      </c>
      <c r="D158">
        <v>-1133</v>
      </c>
      <c r="F158">
        <v>37.39</v>
      </c>
      <c r="G158" t="s">
        <v>3326</v>
      </c>
      <c r="I158">
        <v>120</v>
      </c>
      <c r="J158" t="s">
        <v>3447</v>
      </c>
      <c r="K158">
        <v>2</v>
      </c>
      <c r="L158">
        <v>102</v>
      </c>
      <c r="M158">
        <v>219.73</v>
      </c>
      <c r="N158" t="s">
        <v>3403</v>
      </c>
      <c r="P158">
        <v>120</v>
      </c>
      <c r="Q158" t="s">
        <v>3441</v>
      </c>
      <c r="R158" t="s">
        <v>3327</v>
      </c>
      <c r="S158">
        <v>-112</v>
      </c>
      <c r="T158">
        <v>62.35</v>
      </c>
      <c r="U158" t="s">
        <v>3327</v>
      </c>
      <c r="W158">
        <v>120</v>
      </c>
      <c r="X158" t="s">
        <v>3436</v>
      </c>
      <c r="Y158" t="s">
        <v>3326</v>
      </c>
      <c r="Z158">
        <v>-1133</v>
      </c>
      <c r="AA158">
        <v>37.39</v>
      </c>
      <c r="AB158" t="s">
        <v>3326</v>
      </c>
    </row>
    <row r="159" spans="1:28">
      <c r="A159">
        <v>121</v>
      </c>
      <c r="B159" t="s">
        <v>3436</v>
      </c>
      <c r="C159" t="s">
        <v>3326</v>
      </c>
      <c r="D159">
        <v>-1134</v>
      </c>
      <c r="F159">
        <v>37.39</v>
      </c>
      <c r="G159" t="s">
        <v>3326</v>
      </c>
      <c r="I159">
        <v>121</v>
      </c>
      <c r="J159" t="s">
        <v>3447</v>
      </c>
      <c r="K159">
        <v>2</v>
      </c>
      <c r="L159">
        <v>201</v>
      </c>
      <c r="M159">
        <v>221.77</v>
      </c>
      <c r="N159" t="s">
        <v>3403</v>
      </c>
      <c r="P159">
        <v>121</v>
      </c>
      <c r="Q159" t="s">
        <v>3441</v>
      </c>
      <c r="R159" t="s">
        <v>3327</v>
      </c>
      <c r="S159">
        <v>-113</v>
      </c>
      <c r="T159">
        <v>61.39</v>
      </c>
      <c r="U159" t="s">
        <v>3327</v>
      </c>
      <c r="W159">
        <v>121</v>
      </c>
      <c r="X159" t="s">
        <v>3436</v>
      </c>
      <c r="Y159" t="s">
        <v>3326</v>
      </c>
      <c r="Z159">
        <v>-1134</v>
      </c>
      <c r="AA159">
        <v>37.39</v>
      </c>
      <c r="AB159" t="s">
        <v>3326</v>
      </c>
    </row>
    <row r="160" spans="1:28">
      <c r="A160">
        <v>122</v>
      </c>
      <c r="B160" t="s">
        <v>3436</v>
      </c>
      <c r="C160" t="s">
        <v>3326</v>
      </c>
      <c r="D160">
        <v>-1135</v>
      </c>
      <c r="F160">
        <v>37.39</v>
      </c>
      <c r="G160" t="s">
        <v>3326</v>
      </c>
      <c r="I160">
        <v>122</v>
      </c>
      <c r="J160" t="s">
        <v>3447</v>
      </c>
      <c r="K160">
        <v>2</v>
      </c>
      <c r="L160">
        <v>202</v>
      </c>
      <c r="M160">
        <v>230.81</v>
      </c>
      <c r="N160" t="s">
        <v>3403</v>
      </c>
      <c r="P160">
        <v>122</v>
      </c>
      <c r="Q160" t="s">
        <v>3441</v>
      </c>
      <c r="R160" t="s">
        <v>3327</v>
      </c>
      <c r="S160">
        <v>-114</v>
      </c>
      <c r="T160">
        <v>61.39</v>
      </c>
      <c r="U160" t="s">
        <v>3327</v>
      </c>
      <c r="W160">
        <v>122</v>
      </c>
      <c r="X160" t="s">
        <v>3436</v>
      </c>
      <c r="Y160" t="s">
        <v>3326</v>
      </c>
      <c r="Z160">
        <v>-1135</v>
      </c>
      <c r="AA160">
        <v>37.39</v>
      </c>
      <c r="AB160" t="s">
        <v>3326</v>
      </c>
    </row>
    <row r="161" spans="1:28">
      <c r="A161">
        <v>123</v>
      </c>
      <c r="B161" t="s">
        <v>3436</v>
      </c>
      <c r="C161" t="s">
        <v>3326</v>
      </c>
      <c r="D161">
        <v>-1137</v>
      </c>
      <c r="F161">
        <v>37.39</v>
      </c>
      <c r="G161" t="s">
        <v>3326</v>
      </c>
      <c r="I161">
        <v>123</v>
      </c>
      <c r="J161" t="s">
        <v>3447</v>
      </c>
      <c r="K161">
        <v>2</v>
      </c>
      <c r="L161">
        <v>302</v>
      </c>
      <c r="M161">
        <v>230.81</v>
      </c>
      <c r="N161" t="s">
        <v>3403</v>
      </c>
      <c r="P161">
        <v>123</v>
      </c>
      <c r="Q161" t="s">
        <v>3441</v>
      </c>
      <c r="R161" t="s">
        <v>3327</v>
      </c>
      <c r="S161">
        <v>-115</v>
      </c>
      <c r="T161">
        <v>62.35</v>
      </c>
      <c r="U161" t="s">
        <v>3327</v>
      </c>
      <c r="W161">
        <v>123</v>
      </c>
      <c r="X161" t="s">
        <v>3436</v>
      </c>
      <c r="Y161" t="s">
        <v>3326</v>
      </c>
      <c r="Z161">
        <v>-1137</v>
      </c>
      <c r="AA161">
        <v>37.39</v>
      </c>
      <c r="AB161" t="s">
        <v>3326</v>
      </c>
    </row>
    <row r="162" spans="1:28">
      <c r="A162">
        <v>124</v>
      </c>
      <c r="B162" t="s">
        <v>3436</v>
      </c>
      <c r="C162" t="s">
        <v>3326</v>
      </c>
      <c r="D162">
        <v>-1138</v>
      </c>
      <c r="F162">
        <v>37.39</v>
      </c>
      <c r="G162" t="s">
        <v>3326</v>
      </c>
      <c r="I162">
        <v>124</v>
      </c>
      <c r="J162" t="s">
        <v>3447</v>
      </c>
      <c r="K162">
        <v>2</v>
      </c>
      <c r="L162">
        <v>402</v>
      </c>
      <c r="M162">
        <v>230.81</v>
      </c>
      <c r="N162" t="s">
        <v>3403</v>
      </c>
      <c r="P162">
        <v>124</v>
      </c>
      <c r="Q162" t="s">
        <v>3441</v>
      </c>
      <c r="R162" t="s">
        <v>3327</v>
      </c>
      <c r="S162">
        <v>-116</v>
      </c>
      <c r="T162">
        <v>47.18</v>
      </c>
      <c r="U162" t="s">
        <v>3327</v>
      </c>
      <c r="W162">
        <v>124</v>
      </c>
      <c r="X162" t="s">
        <v>3436</v>
      </c>
      <c r="Y162" t="s">
        <v>3326</v>
      </c>
      <c r="Z162">
        <v>-1138</v>
      </c>
      <c r="AA162">
        <v>37.39</v>
      </c>
      <c r="AB162" t="s">
        <v>3326</v>
      </c>
    </row>
    <row r="163" spans="1:28">
      <c r="A163">
        <v>125</v>
      </c>
      <c r="B163" t="s">
        <v>3436</v>
      </c>
      <c r="C163" t="s">
        <v>3326</v>
      </c>
      <c r="D163">
        <v>-1141</v>
      </c>
      <c r="F163">
        <v>37.39</v>
      </c>
      <c r="G163" t="s">
        <v>3326</v>
      </c>
      <c r="I163">
        <v>125</v>
      </c>
      <c r="J163" t="s">
        <v>3448</v>
      </c>
      <c r="K163">
        <v>1</v>
      </c>
      <c r="L163">
        <v>101</v>
      </c>
      <c r="M163">
        <v>192.52</v>
      </c>
      <c r="N163" t="s">
        <v>3403</v>
      </c>
      <c r="P163">
        <v>125</v>
      </c>
      <c r="Q163" t="s">
        <v>3441</v>
      </c>
      <c r="R163" t="s">
        <v>3327</v>
      </c>
      <c r="S163">
        <v>-117</v>
      </c>
      <c r="T163">
        <v>54.43</v>
      </c>
      <c r="U163" t="s">
        <v>3327</v>
      </c>
      <c r="W163">
        <v>125</v>
      </c>
      <c r="X163" t="s">
        <v>3436</v>
      </c>
      <c r="Y163" t="s">
        <v>3326</v>
      </c>
      <c r="Z163">
        <v>-1141</v>
      </c>
      <c r="AA163">
        <v>37.39</v>
      </c>
      <c r="AB163" t="s">
        <v>3326</v>
      </c>
    </row>
    <row r="164" spans="1:28">
      <c r="A164">
        <v>126</v>
      </c>
      <c r="B164" t="s">
        <v>3436</v>
      </c>
      <c r="C164" t="s">
        <v>3326</v>
      </c>
      <c r="D164">
        <v>-1142</v>
      </c>
      <c r="F164">
        <v>37.39</v>
      </c>
      <c r="G164" t="s">
        <v>3326</v>
      </c>
      <c r="I164">
        <v>126</v>
      </c>
      <c r="J164" t="s">
        <v>3448</v>
      </c>
      <c r="K164">
        <v>1</v>
      </c>
      <c r="L164">
        <v>102</v>
      </c>
      <c r="M164">
        <v>161.83000000000001</v>
      </c>
      <c r="N164" t="s">
        <v>3403</v>
      </c>
      <c r="P164">
        <v>126</v>
      </c>
      <c r="Q164" t="s">
        <v>3441</v>
      </c>
      <c r="R164" t="s">
        <v>3327</v>
      </c>
      <c r="S164">
        <v>-118</v>
      </c>
      <c r="T164">
        <v>15.15</v>
      </c>
      <c r="U164" t="s">
        <v>3327</v>
      </c>
      <c r="W164">
        <v>126</v>
      </c>
      <c r="X164" t="s">
        <v>3436</v>
      </c>
      <c r="Y164" t="s">
        <v>3326</v>
      </c>
      <c r="Z164">
        <v>-1142</v>
      </c>
      <c r="AA164">
        <v>37.39</v>
      </c>
      <c r="AB164" t="s">
        <v>3326</v>
      </c>
    </row>
    <row r="165" spans="1:28">
      <c r="A165">
        <v>127</v>
      </c>
      <c r="B165" t="s">
        <v>3436</v>
      </c>
      <c r="C165" t="s">
        <v>3326</v>
      </c>
      <c r="D165">
        <v>-1144</v>
      </c>
      <c r="F165">
        <v>37.39</v>
      </c>
      <c r="G165" t="s">
        <v>3326</v>
      </c>
      <c r="I165">
        <v>127</v>
      </c>
      <c r="J165" t="s">
        <v>3449</v>
      </c>
      <c r="K165">
        <v>1</v>
      </c>
      <c r="L165">
        <v>102</v>
      </c>
      <c r="M165">
        <v>210.96</v>
      </c>
      <c r="N165" t="s">
        <v>3403</v>
      </c>
      <c r="P165">
        <v>127</v>
      </c>
      <c r="Q165" t="s">
        <v>3441</v>
      </c>
      <c r="R165" t="s">
        <v>3327</v>
      </c>
      <c r="S165">
        <v>-119</v>
      </c>
      <c r="T165">
        <v>14.91</v>
      </c>
      <c r="U165" t="s">
        <v>3327</v>
      </c>
      <c r="W165">
        <v>127</v>
      </c>
      <c r="X165" t="s">
        <v>3436</v>
      </c>
      <c r="Y165" t="s">
        <v>3326</v>
      </c>
      <c r="Z165">
        <v>-1144</v>
      </c>
      <c r="AA165">
        <v>37.39</v>
      </c>
      <c r="AB165" t="s">
        <v>3326</v>
      </c>
    </row>
    <row r="166" spans="1:28">
      <c r="A166">
        <v>128</v>
      </c>
      <c r="B166" t="s">
        <v>3436</v>
      </c>
      <c r="C166" t="s">
        <v>3326</v>
      </c>
      <c r="D166">
        <v>-1146</v>
      </c>
      <c r="F166">
        <v>37.39</v>
      </c>
      <c r="G166" t="s">
        <v>3326</v>
      </c>
      <c r="I166">
        <v>128</v>
      </c>
      <c r="J166" t="s">
        <v>3449</v>
      </c>
      <c r="K166">
        <v>1</v>
      </c>
      <c r="L166">
        <v>302</v>
      </c>
      <c r="M166">
        <v>221.82</v>
      </c>
      <c r="N166" t="s">
        <v>3403</v>
      </c>
      <c r="P166">
        <v>128</v>
      </c>
      <c r="Q166" t="s">
        <v>3441</v>
      </c>
      <c r="R166" t="s">
        <v>3327</v>
      </c>
      <c r="S166">
        <v>-120</v>
      </c>
      <c r="T166">
        <v>14.91</v>
      </c>
      <c r="U166" t="s">
        <v>3327</v>
      </c>
      <c r="W166">
        <v>128</v>
      </c>
      <c r="X166" t="s">
        <v>3436</v>
      </c>
      <c r="Y166" t="s">
        <v>3326</v>
      </c>
      <c r="Z166">
        <v>-1146</v>
      </c>
      <c r="AA166">
        <v>37.39</v>
      </c>
      <c r="AB166" t="s">
        <v>3326</v>
      </c>
    </row>
    <row r="167" spans="1:28">
      <c r="A167">
        <v>129</v>
      </c>
      <c r="B167" t="s">
        <v>3436</v>
      </c>
      <c r="C167" t="s">
        <v>3326</v>
      </c>
      <c r="D167">
        <v>-1147</v>
      </c>
      <c r="F167">
        <v>37.39</v>
      </c>
      <c r="G167" t="s">
        <v>3326</v>
      </c>
      <c r="I167">
        <v>129</v>
      </c>
      <c r="J167" t="s">
        <v>3449</v>
      </c>
      <c r="K167">
        <v>1</v>
      </c>
      <c r="L167">
        <v>402</v>
      </c>
      <c r="M167">
        <v>221.82</v>
      </c>
      <c r="N167" t="s">
        <v>3403</v>
      </c>
      <c r="P167">
        <v>129</v>
      </c>
      <c r="Q167" t="s">
        <v>3441</v>
      </c>
      <c r="R167" t="s">
        <v>3327</v>
      </c>
      <c r="S167">
        <v>-201</v>
      </c>
      <c r="T167">
        <v>22.9</v>
      </c>
      <c r="U167" t="s">
        <v>3327</v>
      </c>
      <c r="W167">
        <v>129</v>
      </c>
      <c r="X167" t="s">
        <v>3436</v>
      </c>
      <c r="Y167" t="s">
        <v>3326</v>
      </c>
      <c r="Z167">
        <v>-1147</v>
      </c>
      <c r="AA167">
        <v>37.39</v>
      </c>
      <c r="AB167" t="s">
        <v>3326</v>
      </c>
    </row>
    <row r="168" spans="1:28">
      <c r="A168">
        <v>130</v>
      </c>
      <c r="B168" t="s">
        <v>3436</v>
      </c>
      <c r="C168" t="s">
        <v>3326</v>
      </c>
      <c r="D168">
        <v>-1148</v>
      </c>
      <c r="F168">
        <v>37.39</v>
      </c>
      <c r="G168" t="s">
        <v>3326</v>
      </c>
      <c r="I168">
        <v>130</v>
      </c>
      <c r="J168" t="s">
        <v>3448</v>
      </c>
      <c r="K168">
        <v>1</v>
      </c>
      <c r="L168">
        <v>201</v>
      </c>
      <c r="M168">
        <v>192.55</v>
      </c>
      <c r="N168" t="s">
        <v>3403</v>
      </c>
      <c r="P168">
        <v>130</v>
      </c>
      <c r="Q168" t="s">
        <v>3441</v>
      </c>
      <c r="R168" t="s">
        <v>3327</v>
      </c>
      <c r="S168">
        <v>-202</v>
      </c>
      <c r="T168">
        <v>22.9</v>
      </c>
      <c r="U168" t="s">
        <v>3327</v>
      </c>
      <c r="W168">
        <v>130</v>
      </c>
      <c r="X168" t="s">
        <v>3436</v>
      </c>
      <c r="Y168" t="s">
        <v>3326</v>
      </c>
      <c r="Z168">
        <v>-1148</v>
      </c>
      <c r="AA168">
        <v>37.39</v>
      </c>
      <c r="AB168" t="s">
        <v>3326</v>
      </c>
    </row>
    <row r="169" spans="1:28">
      <c r="A169">
        <v>131</v>
      </c>
      <c r="B169" t="s">
        <v>3436</v>
      </c>
      <c r="C169" t="s">
        <v>3326</v>
      </c>
      <c r="D169">
        <v>-1149</v>
      </c>
      <c r="F169">
        <v>37.39</v>
      </c>
      <c r="G169" t="s">
        <v>3326</v>
      </c>
      <c r="I169">
        <v>131</v>
      </c>
      <c r="J169" t="s">
        <v>3449</v>
      </c>
      <c r="K169">
        <v>2</v>
      </c>
      <c r="L169">
        <v>101</v>
      </c>
      <c r="M169">
        <v>210.96</v>
      </c>
      <c r="N169" t="s">
        <v>3403</v>
      </c>
      <c r="P169">
        <v>131</v>
      </c>
      <c r="Q169" t="s">
        <v>3441</v>
      </c>
      <c r="R169" t="s">
        <v>3327</v>
      </c>
      <c r="S169">
        <v>-203</v>
      </c>
      <c r="T169">
        <v>22.9</v>
      </c>
      <c r="U169" t="s">
        <v>3327</v>
      </c>
      <c r="W169">
        <v>131</v>
      </c>
      <c r="X169" t="s">
        <v>3436</v>
      </c>
      <c r="Y169" t="s">
        <v>3326</v>
      </c>
      <c r="Z169">
        <v>-1149</v>
      </c>
      <c r="AA169">
        <v>37.39</v>
      </c>
      <c r="AB169" t="s">
        <v>3326</v>
      </c>
    </row>
    <row r="170" spans="1:28">
      <c r="A170">
        <v>132</v>
      </c>
      <c r="B170" t="s">
        <v>3436</v>
      </c>
      <c r="C170" t="s">
        <v>3326</v>
      </c>
      <c r="D170">
        <v>-1150</v>
      </c>
      <c r="F170">
        <v>37.39</v>
      </c>
      <c r="G170" t="s">
        <v>3326</v>
      </c>
      <c r="I170">
        <v>132</v>
      </c>
      <c r="J170" t="s">
        <v>3449</v>
      </c>
      <c r="K170">
        <v>2</v>
      </c>
      <c r="L170">
        <v>102</v>
      </c>
      <c r="M170">
        <v>210.96</v>
      </c>
      <c r="N170" t="s">
        <v>3403</v>
      </c>
      <c r="P170">
        <v>132</v>
      </c>
      <c r="Q170" t="s">
        <v>3441</v>
      </c>
      <c r="R170" t="s">
        <v>3327</v>
      </c>
      <c r="S170">
        <v>-204</v>
      </c>
      <c r="T170">
        <v>21.51</v>
      </c>
      <c r="U170" t="s">
        <v>3327</v>
      </c>
      <c r="W170">
        <v>132</v>
      </c>
      <c r="X170" t="s">
        <v>3436</v>
      </c>
      <c r="Y170" t="s">
        <v>3326</v>
      </c>
      <c r="Z170">
        <v>-1150</v>
      </c>
      <c r="AA170">
        <v>37.39</v>
      </c>
      <c r="AB170" t="s">
        <v>3326</v>
      </c>
    </row>
    <row r="171" spans="1:28">
      <c r="A171">
        <v>133</v>
      </c>
      <c r="B171" t="s">
        <v>3436</v>
      </c>
      <c r="C171" t="s">
        <v>3326</v>
      </c>
      <c r="D171">
        <v>-1152</v>
      </c>
      <c r="F171">
        <v>37.39</v>
      </c>
      <c r="G171" t="s">
        <v>3326</v>
      </c>
      <c r="I171">
        <v>133</v>
      </c>
      <c r="J171" t="s">
        <v>3449</v>
      </c>
      <c r="K171">
        <v>2</v>
      </c>
      <c r="L171">
        <v>202</v>
      </c>
      <c r="M171">
        <v>221.82</v>
      </c>
      <c r="N171" t="s">
        <v>3403</v>
      </c>
      <c r="P171">
        <v>133</v>
      </c>
      <c r="Q171" t="s">
        <v>3442</v>
      </c>
      <c r="R171" t="s">
        <v>3327</v>
      </c>
      <c r="S171">
        <v>-106</v>
      </c>
      <c r="T171">
        <v>33.4</v>
      </c>
      <c r="U171" t="s">
        <v>3327</v>
      </c>
      <c r="W171">
        <v>133</v>
      </c>
      <c r="X171" t="s">
        <v>3436</v>
      </c>
      <c r="Y171" t="s">
        <v>3326</v>
      </c>
      <c r="Z171">
        <v>-1152</v>
      </c>
      <c r="AA171">
        <v>37.39</v>
      </c>
      <c r="AB171" t="s">
        <v>3326</v>
      </c>
    </row>
    <row r="172" spans="1:28">
      <c r="A172">
        <v>134</v>
      </c>
      <c r="B172" t="s">
        <v>3436</v>
      </c>
      <c r="C172" t="s">
        <v>3326</v>
      </c>
      <c r="D172">
        <v>-1153</v>
      </c>
      <c r="F172">
        <v>37.39</v>
      </c>
      <c r="G172" t="s">
        <v>3326</v>
      </c>
      <c r="I172">
        <v>134</v>
      </c>
      <c r="J172" t="s">
        <v>3449</v>
      </c>
      <c r="K172">
        <v>2</v>
      </c>
      <c r="L172">
        <v>302</v>
      </c>
      <c r="M172">
        <v>221.82</v>
      </c>
      <c r="N172" t="s">
        <v>3403</v>
      </c>
      <c r="P172">
        <v>134</v>
      </c>
      <c r="Q172" t="s">
        <v>3442</v>
      </c>
      <c r="R172" t="s">
        <v>3327</v>
      </c>
      <c r="S172">
        <v>-107</v>
      </c>
      <c r="T172">
        <v>61.41</v>
      </c>
      <c r="U172" t="s">
        <v>3327</v>
      </c>
      <c r="W172">
        <v>134</v>
      </c>
      <c r="X172" t="s">
        <v>3436</v>
      </c>
      <c r="Y172" t="s">
        <v>3326</v>
      </c>
      <c r="Z172">
        <v>-1153</v>
      </c>
      <c r="AA172">
        <v>37.39</v>
      </c>
      <c r="AB172" t="s">
        <v>3326</v>
      </c>
    </row>
    <row r="173" spans="1:28">
      <c r="A173">
        <v>135</v>
      </c>
      <c r="B173" t="s">
        <v>3436</v>
      </c>
      <c r="C173" t="s">
        <v>3326</v>
      </c>
      <c r="D173">
        <v>-1154</v>
      </c>
      <c r="F173">
        <v>37.39</v>
      </c>
      <c r="G173" t="s">
        <v>3326</v>
      </c>
      <c r="I173">
        <v>135</v>
      </c>
      <c r="J173" t="s">
        <v>3448</v>
      </c>
      <c r="K173">
        <v>1</v>
      </c>
      <c r="L173">
        <v>301</v>
      </c>
      <c r="M173">
        <v>192.55</v>
      </c>
      <c r="N173" t="s">
        <v>3403</v>
      </c>
      <c r="P173">
        <v>135</v>
      </c>
      <c r="Q173" t="s">
        <v>3442</v>
      </c>
      <c r="R173" t="s">
        <v>3327</v>
      </c>
      <c r="S173">
        <v>-108</v>
      </c>
      <c r="T173">
        <v>47.66</v>
      </c>
      <c r="U173" t="s">
        <v>3327</v>
      </c>
      <c r="W173">
        <v>135</v>
      </c>
      <c r="X173" t="s">
        <v>3436</v>
      </c>
      <c r="Y173" t="s">
        <v>3326</v>
      </c>
      <c r="Z173">
        <v>-1154</v>
      </c>
      <c r="AA173">
        <v>37.39</v>
      </c>
      <c r="AB173" t="s">
        <v>3326</v>
      </c>
    </row>
    <row r="174" spans="1:28">
      <c r="A174">
        <v>136</v>
      </c>
      <c r="B174" t="s">
        <v>3436</v>
      </c>
      <c r="C174" t="s">
        <v>3326</v>
      </c>
      <c r="D174">
        <v>-1155</v>
      </c>
      <c r="F174">
        <v>37.39</v>
      </c>
      <c r="G174" t="s">
        <v>3326</v>
      </c>
      <c r="I174">
        <v>136</v>
      </c>
      <c r="J174" t="s">
        <v>3449</v>
      </c>
      <c r="K174">
        <v>3</v>
      </c>
      <c r="L174">
        <v>101</v>
      </c>
      <c r="M174">
        <v>210.96</v>
      </c>
      <c r="N174" t="s">
        <v>3403</v>
      </c>
      <c r="P174">
        <v>136</v>
      </c>
      <c r="Q174" t="s">
        <v>3442</v>
      </c>
      <c r="R174" t="s">
        <v>3327</v>
      </c>
      <c r="S174">
        <v>-109</v>
      </c>
      <c r="T174">
        <v>29.78</v>
      </c>
      <c r="U174" t="s">
        <v>3327</v>
      </c>
      <c r="W174">
        <v>136</v>
      </c>
      <c r="X174" t="s">
        <v>3436</v>
      </c>
      <c r="Y174" t="s">
        <v>3326</v>
      </c>
      <c r="Z174">
        <v>-1155</v>
      </c>
      <c r="AA174">
        <v>37.39</v>
      </c>
      <c r="AB174" t="s">
        <v>3326</v>
      </c>
    </row>
    <row r="175" spans="1:28">
      <c r="A175">
        <v>137</v>
      </c>
      <c r="B175" t="s">
        <v>3436</v>
      </c>
      <c r="C175" t="s">
        <v>3326</v>
      </c>
      <c r="D175">
        <v>-1156</v>
      </c>
      <c r="F175">
        <v>37.39</v>
      </c>
      <c r="G175" t="s">
        <v>3326</v>
      </c>
      <c r="I175">
        <v>137</v>
      </c>
      <c r="J175" t="s">
        <v>3449</v>
      </c>
      <c r="K175">
        <v>3</v>
      </c>
      <c r="L175">
        <v>102</v>
      </c>
      <c r="M175">
        <v>219.78</v>
      </c>
      <c r="N175" t="s">
        <v>3403</v>
      </c>
      <c r="P175">
        <v>137</v>
      </c>
      <c r="Q175" t="s">
        <v>3442</v>
      </c>
      <c r="R175" t="s">
        <v>3327</v>
      </c>
      <c r="S175">
        <v>-202</v>
      </c>
      <c r="T175">
        <v>30.16</v>
      </c>
      <c r="U175" t="s">
        <v>3327</v>
      </c>
      <c r="W175">
        <v>137</v>
      </c>
      <c r="X175" t="s">
        <v>3436</v>
      </c>
      <c r="Y175" t="s">
        <v>3326</v>
      </c>
      <c r="Z175">
        <v>-1156</v>
      </c>
      <c r="AA175">
        <v>37.39</v>
      </c>
      <c r="AB175" t="s">
        <v>3326</v>
      </c>
    </row>
    <row r="176" spans="1:28">
      <c r="A176">
        <v>138</v>
      </c>
      <c r="B176" t="s">
        <v>3436</v>
      </c>
      <c r="C176" t="s">
        <v>3326</v>
      </c>
      <c r="D176">
        <v>-1157</v>
      </c>
      <c r="F176">
        <v>37.39</v>
      </c>
      <c r="G176" t="s">
        <v>3326</v>
      </c>
      <c r="I176">
        <v>138</v>
      </c>
      <c r="J176" t="s">
        <v>3449</v>
      </c>
      <c r="K176">
        <v>3</v>
      </c>
      <c r="L176">
        <v>201</v>
      </c>
      <c r="M176">
        <v>221.82</v>
      </c>
      <c r="N176" t="s">
        <v>3403</v>
      </c>
      <c r="P176">
        <v>138</v>
      </c>
      <c r="Q176" t="s">
        <v>3442</v>
      </c>
      <c r="R176" t="s">
        <v>3327</v>
      </c>
      <c r="S176">
        <v>-203</v>
      </c>
      <c r="T176">
        <v>23.98</v>
      </c>
      <c r="U176" t="s">
        <v>3327</v>
      </c>
      <c r="W176">
        <v>138</v>
      </c>
      <c r="X176" t="s">
        <v>3436</v>
      </c>
      <c r="Y176" t="s">
        <v>3326</v>
      </c>
      <c r="Z176">
        <v>-1157</v>
      </c>
      <c r="AA176">
        <v>37.39</v>
      </c>
      <c r="AB176" t="s">
        <v>3326</v>
      </c>
    </row>
    <row r="177" spans="1:28">
      <c r="A177">
        <v>139</v>
      </c>
      <c r="B177" t="s">
        <v>3436</v>
      </c>
      <c r="C177" t="s">
        <v>3326</v>
      </c>
      <c r="D177">
        <v>-1158</v>
      </c>
      <c r="F177">
        <v>37.39</v>
      </c>
      <c r="G177" t="s">
        <v>3326</v>
      </c>
      <c r="I177">
        <v>139</v>
      </c>
      <c r="J177" t="s">
        <v>3449</v>
      </c>
      <c r="K177">
        <v>3</v>
      </c>
      <c r="L177">
        <v>202</v>
      </c>
      <c r="M177">
        <v>230.86</v>
      </c>
      <c r="N177" t="s">
        <v>3403</v>
      </c>
      <c r="P177">
        <v>139</v>
      </c>
      <c r="Q177" t="s">
        <v>3442</v>
      </c>
      <c r="R177" t="s">
        <v>3327</v>
      </c>
      <c r="S177">
        <v>-204</v>
      </c>
      <c r="T177">
        <v>23.98</v>
      </c>
      <c r="U177" t="s">
        <v>3327</v>
      </c>
      <c r="W177">
        <v>139</v>
      </c>
      <c r="X177" t="s">
        <v>3436</v>
      </c>
      <c r="Y177" t="s">
        <v>3326</v>
      </c>
      <c r="Z177">
        <v>-1158</v>
      </c>
      <c r="AA177">
        <v>37.39</v>
      </c>
      <c r="AB177" t="s">
        <v>3326</v>
      </c>
    </row>
    <row r="178" spans="1:28">
      <c r="A178">
        <v>140</v>
      </c>
      <c r="B178" t="s">
        <v>3436</v>
      </c>
      <c r="C178" t="s">
        <v>3326</v>
      </c>
      <c r="D178">
        <v>-1159</v>
      </c>
      <c r="F178">
        <v>37.39</v>
      </c>
      <c r="G178" t="s">
        <v>3326</v>
      </c>
      <c r="I178">
        <v>140</v>
      </c>
      <c r="J178" t="s">
        <v>3449</v>
      </c>
      <c r="K178">
        <v>3</v>
      </c>
      <c r="L178">
        <v>302</v>
      </c>
      <c r="M178">
        <v>230.86</v>
      </c>
      <c r="N178" t="s">
        <v>3403</v>
      </c>
      <c r="P178">
        <v>140</v>
      </c>
      <c r="Q178" t="s">
        <v>3442</v>
      </c>
      <c r="R178" t="s">
        <v>3327</v>
      </c>
      <c r="S178">
        <v>-205</v>
      </c>
      <c r="T178">
        <v>22.23</v>
      </c>
      <c r="U178" t="s">
        <v>3327</v>
      </c>
      <c r="W178">
        <v>140</v>
      </c>
      <c r="X178" t="s">
        <v>3436</v>
      </c>
      <c r="Y178" t="s">
        <v>3326</v>
      </c>
      <c r="Z178">
        <v>-1159</v>
      </c>
      <c r="AA178">
        <v>37.39</v>
      </c>
      <c r="AB178" t="s">
        <v>3326</v>
      </c>
    </row>
    <row r="179" spans="1:28">
      <c r="A179">
        <v>141</v>
      </c>
      <c r="B179" t="s">
        <v>3436</v>
      </c>
      <c r="C179" t="s">
        <v>3326</v>
      </c>
      <c r="D179">
        <v>-1160</v>
      </c>
      <c r="F179">
        <v>35.9</v>
      </c>
      <c r="G179" t="s">
        <v>3326</v>
      </c>
      <c r="I179">
        <v>141</v>
      </c>
      <c r="J179" t="s">
        <v>3449</v>
      </c>
      <c r="K179">
        <v>3</v>
      </c>
      <c r="L179">
        <v>402</v>
      </c>
      <c r="M179">
        <v>230.86</v>
      </c>
      <c r="N179" t="s">
        <v>3403</v>
      </c>
      <c r="P179">
        <v>141</v>
      </c>
      <c r="Q179" t="s">
        <v>3443</v>
      </c>
      <c r="R179" t="s">
        <v>3327</v>
      </c>
      <c r="S179">
        <v>-106</v>
      </c>
      <c r="T179">
        <v>61.69</v>
      </c>
      <c r="U179" t="s">
        <v>3327</v>
      </c>
      <c r="W179">
        <v>141</v>
      </c>
      <c r="X179" t="s">
        <v>3436</v>
      </c>
      <c r="Y179" t="s">
        <v>3326</v>
      </c>
      <c r="Z179">
        <v>-1160</v>
      </c>
      <c r="AA179">
        <v>35.9</v>
      </c>
      <c r="AB179" t="s">
        <v>3326</v>
      </c>
    </row>
    <row r="180" spans="1:28">
      <c r="A180">
        <v>142</v>
      </c>
      <c r="B180" t="s">
        <v>3436</v>
      </c>
      <c r="C180" t="s">
        <v>3326</v>
      </c>
      <c r="D180">
        <v>-1161</v>
      </c>
      <c r="F180">
        <v>35.9</v>
      </c>
      <c r="G180" t="s">
        <v>3326</v>
      </c>
      <c r="I180">
        <v>142</v>
      </c>
      <c r="J180" t="s">
        <v>3448</v>
      </c>
      <c r="K180">
        <v>1</v>
      </c>
      <c r="L180">
        <v>402</v>
      </c>
      <c r="M180">
        <v>184.49</v>
      </c>
      <c r="N180" t="s">
        <v>3403</v>
      </c>
      <c r="P180">
        <v>142</v>
      </c>
      <c r="Q180" t="s">
        <v>3443</v>
      </c>
      <c r="R180" t="s">
        <v>3327</v>
      </c>
      <c r="S180">
        <v>-107</v>
      </c>
      <c r="T180">
        <v>62.66</v>
      </c>
      <c r="U180" t="s">
        <v>3327</v>
      </c>
      <c r="W180">
        <v>142</v>
      </c>
      <c r="X180" t="s">
        <v>3436</v>
      </c>
      <c r="Y180" t="s">
        <v>3326</v>
      </c>
      <c r="Z180">
        <v>-1161</v>
      </c>
      <c r="AA180">
        <v>35.9</v>
      </c>
      <c r="AB180" t="s">
        <v>3326</v>
      </c>
    </row>
    <row r="181" spans="1:28">
      <c r="A181">
        <v>143</v>
      </c>
      <c r="B181" t="s">
        <v>3436</v>
      </c>
      <c r="C181" t="s">
        <v>3326</v>
      </c>
      <c r="D181">
        <v>-1162</v>
      </c>
      <c r="F181">
        <v>37.39</v>
      </c>
      <c r="G181" t="s">
        <v>3326</v>
      </c>
      <c r="I181">
        <v>143</v>
      </c>
      <c r="J181" t="s">
        <v>3448</v>
      </c>
      <c r="K181">
        <v>2</v>
      </c>
      <c r="L181">
        <v>101</v>
      </c>
      <c r="M181">
        <v>161.83000000000001</v>
      </c>
      <c r="N181" t="s">
        <v>3403</v>
      </c>
      <c r="P181">
        <v>143</v>
      </c>
      <c r="Q181" t="s">
        <v>3443</v>
      </c>
      <c r="R181" t="s">
        <v>3327</v>
      </c>
      <c r="S181">
        <v>-108</v>
      </c>
      <c r="T181">
        <v>47.41</v>
      </c>
      <c r="U181" t="s">
        <v>3327</v>
      </c>
      <c r="W181">
        <v>143</v>
      </c>
      <c r="X181" t="s">
        <v>3436</v>
      </c>
      <c r="Y181" t="s">
        <v>3326</v>
      </c>
      <c r="Z181">
        <v>-1162</v>
      </c>
      <c r="AA181">
        <v>37.39</v>
      </c>
      <c r="AB181" t="s">
        <v>3326</v>
      </c>
    </row>
    <row r="182" spans="1:28">
      <c r="A182">
        <v>144</v>
      </c>
      <c r="B182" t="s">
        <v>3436</v>
      </c>
      <c r="C182" t="s">
        <v>3326</v>
      </c>
      <c r="D182">
        <v>-1163</v>
      </c>
      <c r="F182">
        <v>37.39</v>
      </c>
      <c r="G182" t="s">
        <v>3326</v>
      </c>
      <c r="I182">
        <v>144</v>
      </c>
      <c r="J182" t="s">
        <v>3448</v>
      </c>
      <c r="K182">
        <v>2</v>
      </c>
      <c r="L182">
        <v>102</v>
      </c>
      <c r="M182">
        <v>184.45</v>
      </c>
      <c r="N182" t="s">
        <v>3403</v>
      </c>
      <c r="P182">
        <v>144</v>
      </c>
      <c r="Q182" t="s">
        <v>3443</v>
      </c>
      <c r="R182" t="s">
        <v>3327</v>
      </c>
      <c r="S182">
        <v>-109</v>
      </c>
      <c r="T182">
        <v>42.6</v>
      </c>
      <c r="U182" t="s">
        <v>3327</v>
      </c>
      <c r="W182">
        <v>144</v>
      </c>
      <c r="X182" t="s">
        <v>3436</v>
      </c>
      <c r="Y182" t="s">
        <v>3326</v>
      </c>
      <c r="Z182">
        <v>-1163</v>
      </c>
      <c r="AA182">
        <v>37.39</v>
      </c>
      <c r="AB182" t="s">
        <v>3326</v>
      </c>
    </row>
    <row r="183" spans="1:28">
      <c r="A183">
        <v>145</v>
      </c>
      <c r="B183" t="s">
        <v>3436</v>
      </c>
      <c r="C183" t="s">
        <v>3326</v>
      </c>
      <c r="D183">
        <v>-1164</v>
      </c>
      <c r="F183">
        <v>55.34</v>
      </c>
      <c r="G183" t="s">
        <v>3326</v>
      </c>
      <c r="I183">
        <v>145</v>
      </c>
      <c r="J183" t="s">
        <v>3450</v>
      </c>
      <c r="K183">
        <v>1</v>
      </c>
      <c r="L183">
        <v>101</v>
      </c>
      <c r="M183">
        <v>272.93</v>
      </c>
      <c r="N183" t="s">
        <v>3403</v>
      </c>
      <c r="P183">
        <v>145</v>
      </c>
      <c r="Q183" t="s">
        <v>3443</v>
      </c>
      <c r="R183" t="s">
        <v>3327</v>
      </c>
      <c r="S183">
        <v>-110</v>
      </c>
      <c r="T183">
        <v>12.84</v>
      </c>
      <c r="U183" t="s">
        <v>3327</v>
      </c>
      <c r="W183">
        <v>145</v>
      </c>
      <c r="X183" t="s">
        <v>3436</v>
      </c>
      <c r="Y183" t="s">
        <v>3326</v>
      </c>
      <c r="Z183">
        <v>-1164</v>
      </c>
      <c r="AA183">
        <v>55.34</v>
      </c>
      <c r="AB183" t="s">
        <v>3326</v>
      </c>
    </row>
    <row r="184" spans="1:28">
      <c r="A184">
        <v>146</v>
      </c>
      <c r="B184" t="s">
        <v>3436</v>
      </c>
      <c r="C184" t="s">
        <v>3326</v>
      </c>
      <c r="D184">
        <v>-1165</v>
      </c>
      <c r="F184">
        <v>35.9</v>
      </c>
      <c r="G184" t="s">
        <v>3326</v>
      </c>
      <c r="I184">
        <v>146</v>
      </c>
      <c r="J184" t="s">
        <v>3450</v>
      </c>
      <c r="K184">
        <v>1</v>
      </c>
      <c r="L184">
        <v>102</v>
      </c>
      <c r="M184">
        <v>271.76</v>
      </c>
      <c r="N184" t="s">
        <v>3403</v>
      </c>
      <c r="P184">
        <v>146</v>
      </c>
      <c r="Q184" t="s">
        <v>3443</v>
      </c>
      <c r="R184" t="s">
        <v>3327</v>
      </c>
      <c r="S184">
        <v>-202</v>
      </c>
      <c r="T184">
        <v>23.01</v>
      </c>
      <c r="U184" t="s">
        <v>3327</v>
      </c>
      <c r="W184">
        <v>146</v>
      </c>
      <c r="X184" t="s">
        <v>3436</v>
      </c>
      <c r="Y184" t="s">
        <v>3326</v>
      </c>
      <c r="Z184">
        <v>-1165</v>
      </c>
      <c r="AA184">
        <v>35.9</v>
      </c>
      <c r="AB184" t="s">
        <v>3326</v>
      </c>
    </row>
    <row r="185" spans="1:28">
      <c r="A185">
        <v>147</v>
      </c>
      <c r="B185" t="s">
        <v>3436</v>
      </c>
      <c r="C185" t="s">
        <v>3326</v>
      </c>
      <c r="D185">
        <v>-1166</v>
      </c>
      <c r="F185">
        <v>35.9</v>
      </c>
      <c r="G185" t="s">
        <v>3326</v>
      </c>
      <c r="I185">
        <v>147</v>
      </c>
      <c r="J185" t="s">
        <v>3450</v>
      </c>
      <c r="K185">
        <v>1</v>
      </c>
      <c r="L185">
        <v>201</v>
      </c>
      <c r="M185">
        <v>272.99</v>
      </c>
      <c r="N185" t="s">
        <v>3403</v>
      </c>
      <c r="P185">
        <v>147</v>
      </c>
      <c r="Q185" t="s">
        <v>3444</v>
      </c>
      <c r="R185" t="s">
        <v>3327</v>
      </c>
      <c r="S185">
        <v>-101</v>
      </c>
      <c r="T185">
        <v>12.98</v>
      </c>
      <c r="U185" t="s">
        <v>3327</v>
      </c>
      <c r="W185">
        <v>147</v>
      </c>
      <c r="X185" t="s">
        <v>3436</v>
      </c>
      <c r="Y185" t="s">
        <v>3326</v>
      </c>
      <c r="Z185">
        <v>-1166</v>
      </c>
      <c r="AA185">
        <v>35.9</v>
      </c>
      <c r="AB185" t="s">
        <v>3326</v>
      </c>
    </row>
    <row r="186" spans="1:28">
      <c r="A186">
        <v>148</v>
      </c>
      <c r="B186" t="s">
        <v>3436</v>
      </c>
      <c r="C186" t="s">
        <v>3326</v>
      </c>
      <c r="D186">
        <v>-1167</v>
      </c>
      <c r="F186">
        <v>37.39</v>
      </c>
      <c r="G186" t="s">
        <v>3326</v>
      </c>
      <c r="I186">
        <v>148</v>
      </c>
      <c r="J186" t="s">
        <v>3450</v>
      </c>
      <c r="K186">
        <v>1</v>
      </c>
      <c r="L186">
        <v>202</v>
      </c>
      <c r="M186">
        <v>271.82</v>
      </c>
      <c r="N186" t="s">
        <v>3403</v>
      </c>
      <c r="P186">
        <v>148</v>
      </c>
      <c r="Q186" t="s">
        <v>3444</v>
      </c>
      <c r="R186" t="s">
        <v>3327</v>
      </c>
      <c r="S186">
        <v>-102</v>
      </c>
      <c r="T186">
        <v>38.93</v>
      </c>
      <c r="U186" t="s">
        <v>3327</v>
      </c>
      <c r="W186">
        <v>148</v>
      </c>
      <c r="X186" t="s">
        <v>3436</v>
      </c>
      <c r="Y186" t="s">
        <v>3326</v>
      </c>
      <c r="Z186">
        <v>-1167</v>
      </c>
      <c r="AA186">
        <v>37.39</v>
      </c>
      <c r="AB186" t="s">
        <v>3326</v>
      </c>
    </row>
    <row r="187" spans="1:28">
      <c r="A187">
        <v>149</v>
      </c>
      <c r="B187" t="s">
        <v>3436</v>
      </c>
      <c r="C187" t="s">
        <v>3326</v>
      </c>
      <c r="D187">
        <v>-1168</v>
      </c>
      <c r="F187">
        <v>37.39</v>
      </c>
      <c r="G187" t="s">
        <v>3326</v>
      </c>
      <c r="I187">
        <v>149</v>
      </c>
      <c r="J187" t="s">
        <v>3450</v>
      </c>
      <c r="K187">
        <v>1</v>
      </c>
      <c r="L187">
        <v>301</v>
      </c>
      <c r="M187">
        <v>272.99</v>
      </c>
      <c r="N187" t="s">
        <v>3403</v>
      </c>
      <c r="P187">
        <v>149</v>
      </c>
      <c r="Q187" t="s">
        <v>3444</v>
      </c>
      <c r="R187" t="s">
        <v>3327</v>
      </c>
      <c r="S187">
        <v>-103</v>
      </c>
      <c r="T187">
        <v>47.03</v>
      </c>
      <c r="U187" t="s">
        <v>3327</v>
      </c>
      <c r="W187">
        <v>149</v>
      </c>
      <c r="X187" t="s">
        <v>3436</v>
      </c>
      <c r="Y187" t="s">
        <v>3326</v>
      </c>
      <c r="Z187">
        <v>-1168</v>
      </c>
      <c r="AA187">
        <v>37.39</v>
      </c>
      <c r="AB187" t="s">
        <v>3326</v>
      </c>
    </row>
    <row r="188" spans="1:28">
      <c r="A188">
        <v>150</v>
      </c>
      <c r="B188" t="s">
        <v>3436</v>
      </c>
      <c r="C188" t="s">
        <v>3326</v>
      </c>
      <c r="D188">
        <v>-1169</v>
      </c>
      <c r="F188">
        <v>37.39</v>
      </c>
      <c r="G188" t="s">
        <v>3326</v>
      </c>
      <c r="I188">
        <v>150</v>
      </c>
      <c r="J188" t="s">
        <v>3450</v>
      </c>
      <c r="K188">
        <v>1</v>
      </c>
      <c r="L188">
        <v>302</v>
      </c>
      <c r="M188">
        <v>271.82</v>
      </c>
      <c r="N188" t="s">
        <v>3403</v>
      </c>
      <c r="P188">
        <v>150</v>
      </c>
      <c r="Q188" t="s">
        <v>3444</v>
      </c>
      <c r="R188" t="s">
        <v>3327</v>
      </c>
      <c r="S188">
        <v>-104</v>
      </c>
      <c r="T188">
        <v>62.16</v>
      </c>
      <c r="U188" t="s">
        <v>3327</v>
      </c>
      <c r="W188">
        <v>150</v>
      </c>
      <c r="X188" t="s">
        <v>3436</v>
      </c>
      <c r="Y188" t="s">
        <v>3326</v>
      </c>
      <c r="Z188">
        <v>-1169</v>
      </c>
      <c r="AA188">
        <v>37.39</v>
      </c>
      <c r="AB188" t="s">
        <v>3326</v>
      </c>
    </row>
    <row r="189" spans="1:28">
      <c r="A189">
        <v>151</v>
      </c>
      <c r="B189" t="s">
        <v>3436</v>
      </c>
      <c r="C189" t="s">
        <v>3326</v>
      </c>
      <c r="D189">
        <v>-1170</v>
      </c>
      <c r="F189">
        <v>35.9</v>
      </c>
      <c r="G189" t="s">
        <v>3326</v>
      </c>
      <c r="I189">
        <v>151</v>
      </c>
      <c r="J189" t="s">
        <v>3450</v>
      </c>
      <c r="K189">
        <v>1</v>
      </c>
      <c r="L189">
        <v>401</v>
      </c>
      <c r="M189">
        <v>272.99</v>
      </c>
      <c r="N189" t="s">
        <v>3403</v>
      </c>
      <c r="P189">
        <v>151</v>
      </c>
      <c r="Q189" t="s">
        <v>3444</v>
      </c>
      <c r="R189" t="s">
        <v>3327</v>
      </c>
      <c r="S189">
        <v>-105</v>
      </c>
      <c r="T189">
        <v>61.2</v>
      </c>
      <c r="U189" t="s">
        <v>3327</v>
      </c>
      <c r="W189">
        <v>151</v>
      </c>
      <c r="X189" t="s">
        <v>3436</v>
      </c>
      <c r="Y189" t="s">
        <v>3326</v>
      </c>
      <c r="Z189">
        <v>-1170</v>
      </c>
      <c r="AA189">
        <v>35.9</v>
      </c>
      <c r="AB189" t="s">
        <v>3326</v>
      </c>
    </row>
    <row r="190" spans="1:28">
      <c r="A190">
        <v>152</v>
      </c>
      <c r="B190" t="s">
        <v>3436</v>
      </c>
      <c r="C190" t="s">
        <v>3326</v>
      </c>
      <c r="D190">
        <v>-1171</v>
      </c>
      <c r="F190">
        <v>35.9</v>
      </c>
      <c r="G190" t="s">
        <v>3326</v>
      </c>
      <c r="I190">
        <v>152</v>
      </c>
      <c r="J190" t="s">
        <v>3450</v>
      </c>
      <c r="K190">
        <v>1</v>
      </c>
      <c r="L190">
        <v>402</v>
      </c>
      <c r="M190">
        <v>271.82</v>
      </c>
      <c r="N190" t="s">
        <v>3403</v>
      </c>
      <c r="P190">
        <v>152</v>
      </c>
      <c r="Q190" t="s">
        <v>3444</v>
      </c>
      <c r="R190" t="s">
        <v>3327</v>
      </c>
      <c r="S190">
        <v>-106</v>
      </c>
      <c r="T190">
        <v>61.2</v>
      </c>
      <c r="U190" t="s">
        <v>3327</v>
      </c>
      <c r="W190">
        <v>152</v>
      </c>
      <c r="X190" t="s">
        <v>3436</v>
      </c>
      <c r="Y190" t="s">
        <v>3326</v>
      </c>
      <c r="Z190">
        <v>-1171</v>
      </c>
      <c r="AA190">
        <v>35.9</v>
      </c>
      <c r="AB190" t="s">
        <v>3326</v>
      </c>
    </row>
    <row r="191" spans="1:28">
      <c r="A191">
        <v>153</v>
      </c>
      <c r="B191" t="s">
        <v>3436</v>
      </c>
      <c r="C191" t="s">
        <v>3326</v>
      </c>
      <c r="D191">
        <v>-1174</v>
      </c>
      <c r="F191">
        <v>37.39</v>
      </c>
      <c r="G191" t="s">
        <v>3326</v>
      </c>
      <c r="I191">
        <v>153</v>
      </c>
      <c r="J191" t="s">
        <v>3448</v>
      </c>
      <c r="K191">
        <v>2</v>
      </c>
      <c r="L191">
        <v>202</v>
      </c>
      <c r="M191">
        <v>184.49</v>
      </c>
      <c r="N191" t="s">
        <v>3403</v>
      </c>
      <c r="P191">
        <v>153</v>
      </c>
      <c r="Q191" t="s">
        <v>3444</v>
      </c>
      <c r="R191" t="s">
        <v>3327</v>
      </c>
      <c r="S191">
        <v>-107</v>
      </c>
      <c r="T191">
        <v>62.16</v>
      </c>
      <c r="U191" t="s">
        <v>3327</v>
      </c>
      <c r="W191">
        <v>153</v>
      </c>
      <c r="X191" t="s">
        <v>3436</v>
      </c>
      <c r="Y191" t="s">
        <v>3326</v>
      </c>
      <c r="Z191">
        <v>-1174</v>
      </c>
      <c r="AA191">
        <v>37.39</v>
      </c>
      <c r="AB191" t="s">
        <v>3326</v>
      </c>
    </row>
    <row r="192" spans="1:28">
      <c r="A192">
        <v>154</v>
      </c>
      <c r="B192" t="s">
        <v>3436</v>
      </c>
      <c r="C192" t="s">
        <v>3326</v>
      </c>
      <c r="D192">
        <v>-1175</v>
      </c>
      <c r="F192">
        <v>37.39</v>
      </c>
      <c r="G192" t="s">
        <v>3326</v>
      </c>
      <c r="I192">
        <v>154</v>
      </c>
      <c r="J192" t="s">
        <v>3450</v>
      </c>
      <c r="K192">
        <v>2</v>
      </c>
      <c r="L192">
        <v>101</v>
      </c>
      <c r="M192">
        <v>271.76</v>
      </c>
      <c r="N192" t="s">
        <v>3403</v>
      </c>
      <c r="P192">
        <v>154</v>
      </c>
      <c r="Q192" t="s">
        <v>3444</v>
      </c>
      <c r="R192" t="s">
        <v>3327</v>
      </c>
      <c r="S192">
        <v>-108</v>
      </c>
      <c r="T192">
        <v>47.03</v>
      </c>
      <c r="U192" t="s">
        <v>3327</v>
      </c>
      <c r="W192">
        <v>154</v>
      </c>
      <c r="X192" t="s">
        <v>3436</v>
      </c>
      <c r="Y192" t="s">
        <v>3326</v>
      </c>
      <c r="Z192">
        <v>-1175</v>
      </c>
      <c r="AA192">
        <v>37.39</v>
      </c>
      <c r="AB192" t="s">
        <v>3326</v>
      </c>
    </row>
    <row r="193" spans="1:28">
      <c r="A193">
        <v>155</v>
      </c>
      <c r="B193" t="s">
        <v>3436</v>
      </c>
      <c r="C193" t="s">
        <v>3326</v>
      </c>
      <c r="D193">
        <v>-1176</v>
      </c>
      <c r="F193">
        <v>37.39</v>
      </c>
      <c r="G193" t="s">
        <v>3326</v>
      </c>
      <c r="I193">
        <v>155</v>
      </c>
      <c r="J193" t="s">
        <v>3450</v>
      </c>
      <c r="K193">
        <v>2</v>
      </c>
      <c r="L193">
        <v>102</v>
      </c>
      <c r="M193">
        <v>272.93</v>
      </c>
      <c r="N193" t="s">
        <v>3403</v>
      </c>
      <c r="P193">
        <v>155</v>
      </c>
      <c r="Q193" t="s">
        <v>3444</v>
      </c>
      <c r="R193" t="s">
        <v>3327</v>
      </c>
      <c r="S193">
        <v>-109</v>
      </c>
      <c r="T193">
        <v>42.64</v>
      </c>
      <c r="U193" t="s">
        <v>3327</v>
      </c>
      <c r="W193">
        <v>155</v>
      </c>
      <c r="X193" t="s">
        <v>3436</v>
      </c>
      <c r="Y193" t="s">
        <v>3326</v>
      </c>
      <c r="Z193">
        <v>-1176</v>
      </c>
      <c r="AA193">
        <v>37.39</v>
      </c>
      <c r="AB193" t="s">
        <v>3326</v>
      </c>
    </row>
    <row r="194" spans="1:28">
      <c r="A194">
        <v>156</v>
      </c>
      <c r="B194" t="s">
        <v>3436</v>
      </c>
      <c r="C194" t="s">
        <v>3326</v>
      </c>
      <c r="D194">
        <v>-1177</v>
      </c>
      <c r="F194">
        <v>37.39</v>
      </c>
      <c r="G194" t="s">
        <v>3326</v>
      </c>
      <c r="I194">
        <v>156</v>
      </c>
      <c r="J194" t="s">
        <v>3450</v>
      </c>
      <c r="K194">
        <v>2</v>
      </c>
      <c r="L194">
        <v>201</v>
      </c>
      <c r="M194">
        <v>271.82</v>
      </c>
      <c r="N194" t="s">
        <v>3403</v>
      </c>
      <c r="P194">
        <v>156</v>
      </c>
      <c r="Q194" t="s">
        <v>3444</v>
      </c>
      <c r="R194" t="s">
        <v>3327</v>
      </c>
      <c r="S194">
        <v>-110</v>
      </c>
      <c r="T194">
        <v>42.64</v>
      </c>
      <c r="U194" t="s">
        <v>3327</v>
      </c>
      <c r="W194">
        <v>156</v>
      </c>
      <c r="X194" t="s">
        <v>3436</v>
      </c>
      <c r="Y194" t="s">
        <v>3326</v>
      </c>
      <c r="Z194">
        <v>-1177</v>
      </c>
      <c r="AA194">
        <v>37.39</v>
      </c>
      <c r="AB194" t="s">
        <v>3326</v>
      </c>
    </row>
    <row r="195" spans="1:28">
      <c r="A195">
        <v>157</v>
      </c>
      <c r="B195" t="s">
        <v>3436</v>
      </c>
      <c r="C195" t="s">
        <v>3326</v>
      </c>
      <c r="D195">
        <v>-1178</v>
      </c>
      <c r="F195">
        <v>37.39</v>
      </c>
      <c r="G195" t="s">
        <v>3326</v>
      </c>
      <c r="I195">
        <v>157</v>
      </c>
      <c r="J195" t="s">
        <v>3450</v>
      </c>
      <c r="K195">
        <v>2</v>
      </c>
      <c r="L195">
        <v>301</v>
      </c>
      <c r="M195">
        <v>271.82</v>
      </c>
      <c r="N195" t="s">
        <v>3403</v>
      </c>
      <c r="P195">
        <v>157</v>
      </c>
      <c r="Q195" t="s">
        <v>3444</v>
      </c>
      <c r="R195" t="s">
        <v>3327</v>
      </c>
      <c r="S195">
        <v>-111</v>
      </c>
      <c r="T195">
        <v>47.03</v>
      </c>
      <c r="U195" t="s">
        <v>3327</v>
      </c>
      <c r="W195">
        <v>157</v>
      </c>
      <c r="X195" t="s">
        <v>3436</v>
      </c>
      <c r="Y195" t="s">
        <v>3326</v>
      </c>
      <c r="Z195">
        <v>-1178</v>
      </c>
      <c r="AA195">
        <v>37.39</v>
      </c>
      <c r="AB195" t="s">
        <v>3326</v>
      </c>
    </row>
    <row r="196" spans="1:28">
      <c r="A196">
        <v>158</v>
      </c>
      <c r="B196" t="s">
        <v>3436</v>
      </c>
      <c r="C196" t="s">
        <v>3326</v>
      </c>
      <c r="D196">
        <v>-1179</v>
      </c>
      <c r="F196">
        <v>37.39</v>
      </c>
      <c r="G196" t="s">
        <v>3326</v>
      </c>
      <c r="I196">
        <v>158</v>
      </c>
      <c r="J196" t="s">
        <v>3450</v>
      </c>
      <c r="K196">
        <v>2</v>
      </c>
      <c r="L196">
        <v>401</v>
      </c>
      <c r="M196">
        <v>271.82</v>
      </c>
      <c r="N196" t="s">
        <v>3403</v>
      </c>
      <c r="P196">
        <v>158</v>
      </c>
      <c r="Q196" t="s">
        <v>3444</v>
      </c>
      <c r="R196" t="s">
        <v>3327</v>
      </c>
      <c r="S196">
        <v>-112</v>
      </c>
      <c r="T196">
        <v>62.16</v>
      </c>
      <c r="U196" t="s">
        <v>3327</v>
      </c>
      <c r="W196">
        <v>158</v>
      </c>
      <c r="X196" t="s">
        <v>3436</v>
      </c>
      <c r="Y196" t="s">
        <v>3326</v>
      </c>
      <c r="Z196">
        <v>-1179</v>
      </c>
      <c r="AA196">
        <v>37.39</v>
      </c>
      <c r="AB196" t="s">
        <v>3326</v>
      </c>
    </row>
    <row r="197" spans="1:28">
      <c r="A197">
        <v>159</v>
      </c>
      <c r="B197" t="s">
        <v>3436</v>
      </c>
      <c r="C197" t="s">
        <v>3326</v>
      </c>
      <c r="D197">
        <v>-1180</v>
      </c>
      <c r="F197">
        <v>37.39</v>
      </c>
      <c r="G197" t="s">
        <v>3326</v>
      </c>
      <c r="I197">
        <v>159</v>
      </c>
      <c r="J197" t="s">
        <v>3448</v>
      </c>
      <c r="K197">
        <v>2</v>
      </c>
      <c r="L197">
        <v>301</v>
      </c>
      <c r="M197">
        <v>184.49</v>
      </c>
      <c r="N197" t="s">
        <v>3403</v>
      </c>
      <c r="P197">
        <v>159</v>
      </c>
      <c r="Q197" t="s">
        <v>3444</v>
      </c>
      <c r="R197" t="s">
        <v>3327</v>
      </c>
      <c r="S197">
        <v>-113</v>
      </c>
      <c r="T197">
        <v>61.2</v>
      </c>
      <c r="U197" t="s">
        <v>3327</v>
      </c>
      <c r="W197">
        <v>159</v>
      </c>
      <c r="X197" t="s">
        <v>3436</v>
      </c>
      <c r="Y197" t="s">
        <v>3326</v>
      </c>
      <c r="Z197">
        <v>-1180</v>
      </c>
      <c r="AA197">
        <v>37.39</v>
      </c>
      <c r="AB197" t="s">
        <v>3326</v>
      </c>
    </row>
    <row r="198" spans="1:28">
      <c r="A198">
        <v>160</v>
      </c>
      <c r="B198" t="s">
        <v>3436</v>
      </c>
      <c r="C198" t="s">
        <v>3326</v>
      </c>
      <c r="D198">
        <v>-1181</v>
      </c>
      <c r="F198">
        <v>37.39</v>
      </c>
      <c r="G198" t="s">
        <v>3326</v>
      </c>
      <c r="I198">
        <v>160</v>
      </c>
      <c r="J198" t="s">
        <v>3448</v>
      </c>
      <c r="K198">
        <v>2</v>
      </c>
      <c r="L198">
        <v>302</v>
      </c>
      <c r="M198">
        <v>184.49</v>
      </c>
      <c r="N198" t="s">
        <v>3403</v>
      </c>
      <c r="P198">
        <v>160</v>
      </c>
      <c r="Q198" t="s">
        <v>3444</v>
      </c>
      <c r="R198" t="s">
        <v>3327</v>
      </c>
      <c r="S198">
        <v>-114</v>
      </c>
      <c r="T198">
        <v>61.2</v>
      </c>
      <c r="U198" t="s">
        <v>3327</v>
      </c>
      <c r="W198">
        <v>160</v>
      </c>
      <c r="X198" t="s">
        <v>3436</v>
      </c>
      <c r="Y198" t="s">
        <v>3326</v>
      </c>
      <c r="Z198">
        <v>-1181</v>
      </c>
      <c r="AA198">
        <v>37.39</v>
      </c>
      <c r="AB198" t="s">
        <v>3326</v>
      </c>
    </row>
    <row r="199" spans="1:28">
      <c r="A199">
        <v>161</v>
      </c>
      <c r="B199" t="s">
        <v>3436</v>
      </c>
      <c r="C199" t="s">
        <v>3326</v>
      </c>
      <c r="D199">
        <v>-1182</v>
      </c>
      <c r="F199">
        <v>37.39</v>
      </c>
      <c r="G199" t="s">
        <v>3326</v>
      </c>
      <c r="I199">
        <v>161</v>
      </c>
      <c r="J199" t="s">
        <v>3448</v>
      </c>
      <c r="K199">
        <v>2</v>
      </c>
      <c r="L199">
        <v>401</v>
      </c>
      <c r="M199">
        <v>184.49</v>
      </c>
      <c r="N199" t="s">
        <v>3403</v>
      </c>
      <c r="P199">
        <v>161</v>
      </c>
      <c r="Q199" t="s">
        <v>3444</v>
      </c>
      <c r="R199" t="s">
        <v>3327</v>
      </c>
      <c r="S199">
        <v>-115</v>
      </c>
      <c r="T199">
        <v>62.16</v>
      </c>
      <c r="U199" t="s">
        <v>3327</v>
      </c>
      <c r="W199">
        <v>161</v>
      </c>
      <c r="X199" t="s">
        <v>3436</v>
      </c>
      <c r="Y199" t="s">
        <v>3326</v>
      </c>
      <c r="Z199">
        <v>-1182</v>
      </c>
      <c r="AA199">
        <v>37.39</v>
      </c>
      <c r="AB199" t="s">
        <v>3326</v>
      </c>
    </row>
    <row r="200" spans="1:28">
      <c r="A200">
        <v>162</v>
      </c>
      <c r="B200" t="s">
        <v>3436</v>
      </c>
      <c r="C200" t="s">
        <v>3326</v>
      </c>
      <c r="D200">
        <v>-1183</v>
      </c>
      <c r="F200">
        <v>37.39</v>
      </c>
      <c r="G200" t="s">
        <v>3326</v>
      </c>
      <c r="I200">
        <v>162</v>
      </c>
      <c r="J200" t="s">
        <v>3448</v>
      </c>
      <c r="K200">
        <v>3</v>
      </c>
      <c r="L200">
        <v>101</v>
      </c>
      <c r="M200">
        <v>161.83000000000001</v>
      </c>
      <c r="N200" t="s">
        <v>3403</v>
      </c>
      <c r="P200">
        <v>162</v>
      </c>
      <c r="Q200" t="s">
        <v>3444</v>
      </c>
      <c r="R200" t="s">
        <v>3327</v>
      </c>
      <c r="S200">
        <v>-116</v>
      </c>
      <c r="T200">
        <v>47.03</v>
      </c>
      <c r="U200" t="s">
        <v>3327</v>
      </c>
      <c r="W200">
        <v>162</v>
      </c>
      <c r="X200" t="s">
        <v>3436</v>
      </c>
      <c r="Y200" t="s">
        <v>3326</v>
      </c>
      <c r="Z200">
        <v>-1183</v>
      </c>
      <c r="AA200">
        <v>37.39</v>
      </c>
      <c r="AB200" t="s">
        <v>3326</v>
      </c>
    </row>
    <row r="201" spans="1:28">
      <c r="A201">
        <v>163</v>
      </c>
      <c r="B201" t="s">
        <v>3436</v>
      </c>
      <c r="C201" t="s">
        <v>3326</v>
      </c>
      <c r="D201">
        <v>-1184</v>
      </c>
      <c r="F201">
        <v>37.39</v>
      </c>
      <c r="G201" t="s">
        <v>3326</v>
      </c>
      <c r="I201">
        <v>163</v>
      </c>
      <c r="J201" t="s">
        <v>3448</v>
      </c>
      <c r="K201">
        <v>3</v>
      </c>
      <c r="L201">
        <v>102</v>
      </c>
      <c r="M201">
        <v>184.95</v>
      </c>
      <c r="N201" t="s">
        <v>3403</v>
      </c>
      <c r="P201">
        <v>163</v>
      </c>
      <c r="Q201" t="s">
        <v>3444</v>
      </c>
      <c r="R201" t="s">
        <v>3327</v>
      </c>
      <c r="S201">
        <v>-117</v>
      </c>
      <c r="T201">
        <v>54.26</v>
      </c>
      <c r="U201" t="s">
        <v>3327</v>
      </c>
      <c r="W201">
        <v>163</v>
      </c>
      <c r="X201" t="s">
        <v>3436</v>
      </c>
      <c r="Y201" t="s">
        <v>3326</v>
      </c>
      <c r="Z201">
        <v>-1184</v>
      </c>
      <c r="AA201">
        <v>37.39</v>
      </c>
      <c r="AB201" t="s">
        <v>3326</v>
      </c>
    </row>
    <row r="202" spans="1:28">
      <c r="A202">
        <v>164</v>
      </c>
      <c r="B202" t="s">
        <v>3436</v>
      </c>
      <c r="C202" t="s">
        <v>3326</v>
      </c>
      <c r="D202">
        <v>-1185</v>
      </c>
      <c r="F202">
        <v>37.39</v>
      </c>
      <c r="G202" t="s">
        <v>3326</v>
      </c>
      <c r="I202">
        <v>164</v>
      </c>
      <c r="J202" t="s">
        <v>3448</v>
      </c>
      <c r="K202">
        <v>3</v>
      </c>
      <c r="L202">
        <v>201</v>
      </c>
      <c r="M202">
        <v>184.49</v>
      </c>
      <c r="N202" t="s">
        <v>3403</v>
      </c>
      <c r="P202">
        <v>164</v>
      </c>
      <c r="Q202" t="s">
        <v>3444</v>
      </c>
      <c r="R202" t="s">
        <v>3327</v>
      </c>
      <c r="S202">
        <v>-118</v>
      </c>
      <c r="T202">
        <v>15.1</v>
      </c>
      <c r="U202" t="s">
        <v>3327</v>
      </c>
      <c r="W202">
        <v>164</v>
      </c>
      <c r="X202" t="s">
        <v>3436</v>
      </c>
      <c r="Y202" t="s">
        <v>3326</v>
      </c>
      <c r="Z202">
        <v>-1185</v>
      </c>
      <c r="AA202">
        <v>37.39</v>
      </c>
      <c r="AB202" t="s">
        <v>3326</v>
      </c>
    </row>
    <row r="203" spans="1:28">
      <c r="A203">
        <v>165</v>
      </c>
      <c r="B203" t="s">
        <v>3436</v>
      </c>
      <c r="C203" t="s">
        <v>3326</v>
      </c>
      <c r="D203">
        <v>-1186</v>
      </c>
      <c r="F203">
        <v>37.39</v>
      </c>
      <c r="G203" t="s">
        <v>3326</v>
      </c>
      <c r="I203">
        <v>165</v>
      </c>
      <c r="J203" t="s">
        <v>3448</v>
      </c>
      <c r="K203">
        <v>3</v>
      </c>
      <c r="L203">
        <v>202</v>
      </c>
      <c r="M203">
        <v>184.99</v>
      </c>
      <c r="N203" t="s">
        <v>3403</v>
      </c>
      <c r="P203">
        <v>165</v>
      </c>
      <c r="Q203" t="s">
        <v>3444</v>
      </c>
      <c r="R203" t="s">
        <v>3327</v>
      </c>
      <c r="S203">
        <v>-119</v>
      </c>
      <c r="T203">
        <v>14.86</v>
      </c>
      <c r="U203" t="s">
        <v>3327</v>
      </c>
      <c r="W203">
        <v>165</v>
      </c>
      <c r="X203" t="s">
        <v>3436</v>
      </c>
      <c r="Y203" t="s">
        <v>3326</v>
      </c>
      <c r="Z203">
        <v>-1186</v>
      </c>
      <c r="AA203">
        <v>37.39</v>
      </c>
      <c r="AB203" t="s">
        <v>3326</v>
      </c>
    </row>
    <row r="204" spans="1:28">
      <c r="A204">
        <v>166</v>
      </c>
      <c r="B204" t="s">
        <v>3436</v>
      </c>
      <c r="C204" t="s">
        <v>3326</v>
      </c>
      <c r="D204">
        <v>-1187</v>
      </c>
      <c r="F204">
        <v>37.39</v>
      </c>
      <c r="G204" t="s">
        <v>3326</v>
      </c>
      <c r="I204">
        <v>166</v>
      </c>
      <c r="J204" t="s">
        <v>3448</v>
      </c>
      <c r="K204">
        <v>3</v>
      </c>
      <c r="L204">
        <v>301</v>
      </c>
      <c r="M204">
        <v>184.49</v>
      </c>
      <c r="N204" t="s">
        <v>3403</v>
      </c>
      <c r="P204">
        <v>166</v>
      </c>
      <c r="Q204" t="s">
        <v>3444</v>
      </c>
      <c r="R204" t="s">
        <v>3327</v>
      </c>
      <c r="S204">
        <v>-120</v>
      </c>
      <c r="T204">
        <v>12.74</v>
      </c>
      <c r="U204" t="s">
        <v>3327</v>
      </c>
      <c r="W204">
        <v>166</v>
      </c>
      <c r="X204" t="s">
        <v>3436</v>
      </c>
      <c r="Y204" t="s">
        <v>3326</v>
      </c>
      <c r="Z204">
        <v>-1187</v>
      </c>
      <c r="AA204">
        <v>37.39</v>
      </c>
      <c r="AB204" t="s">
        <v>3326</v>
      </c>
    </row>
    <row r="205" spans="1:28">
      <c r="A205">
        <v>167</v>
      </c>
      <c r="B205" t="s">
        <v>3436</v>
      </c>
      <c r="C205" t="s">
        <v>3326</v>
      </c>
      <c r="D205">
        <v>-1190</v>
      </c>
      <c r="F205">
        <v>37.39</v>
      </c>
      <c r="G205" t="s">
        <v>3326</v>
      </c>
      <c r="I205">
        <v>167</v>
      </c>
      <c r="J205" t="s">
        <v>3448</v>
      </c>
      <c r="K205">
        <v>3</v>
      </c>
      <c r="L205">
        <v>302</v>
      </c>
      <c r="M205">
        <v>184.99</v>
      </c>
      <c r="N205" t="s">
        <v>3403</v>
      </c>
      <c r="P205">
        <v>167</v>
      </c>
      <c r="Q205" t="s">
        <v>3444</v>
      </c>
      <c r="R205" t="s">
        <v>3327</v>
      </c>
      <c r="S205">
        <v>-201</v>
      </c>
      <c r="T205">
        <v>22.83</v>
      </c>
      <c r="U205" t="s">
        <v>3327</v>
      </c>
      <c r="W205">
        <v>167</v>
      </c>
      <c r="X205" t="s">
        <v>3436</v>
      </c>
      <c r="Y205" t="s">
        <v>3326</v>
      </c>
      <c r="Z205">
        <v>-1190</v>
      </c>
      <c r="AA205">
        <v>37.39</v>
      </c>
      <c r="AB205" t="s">
        <v>3326</v>
      </c>
    </row>
    <row r="206" spans="1:28">
      <c r="A206">
        <v>168</v>
      </c>
      <c r="B206" t="s">
        <v>3436</v>
      </c>
      <c r="C206" t="s">
        <v>3326</v>
      </c>
      <c r="D206">
        <v>-1191</v>
      </c>
      <c r="F206">
        <v>37.39</v>
      </c>
      <c r="G206" t="s">
        <v>3326</v>
      </c>
      <c r="I206">
        <v>168</v>
      </c>
      <c r="J206" t="s">
        <v>3448</v>
      </c>
      <c r="K206">
        <v>3</v>
      </c>
      <c r="L206">
        <v>401</v>
      </c>
      <c r="M206">
        <v>184.49</v>
      </c>
      <c r="N206" t="s">
        <v>3403</v>
      </c>
      <c r="P206">
        <v>168</v>
      </c>
      <c r="Q206" t="s">
        <v>3444</v>
      </c>
      <c r="R206" t="s">
        <v>3327</v>
      </c>
      <c r="S206">
        <v>-202</v>
      </c>
      <c r="T206">
        <v>22.83</v>
      </c>
      <c r="U206" t="s">
        <v>3327</v>
      </c>
      <c r="W206">
        <v>168</v>
      </c>
      <c r="X206" t="s">
        <v>3436</v>
      </c>
      <c r="Y206" t="s">
        <v>3326</v>
      </c>
      <c r="Z206">
        <v>-1191</v>
      </c>
      <c r="AA206">
        <v>37.39</v>
      </c>
      <c r="AB206" t="s">
        <v>3326</v>
      </c>
    </row>
    <row r="207" spans="1:28">
      <c r="A207">
        <v>169</v>
      </c>
      <c r="B207" t="s">
        <v>3436</v>
      </c>
      <c r="C207" t="s">
        <v>3326</v>
      </c>
      <c r="D207">
        <v>-1192</v>
      </c>
      <c r="F207">
        <v>37.39</v>
      </c>
      <c r="G207" t="s">
        <v>3326</v>
      </c>
      <c r="I207">
        <v>169</v>
      </c>
      <c r="J207" t="s">
        <v>3448</v>
      </c>
      <c r="K207">
        <v>3</v>
      </c>
      <c r="L207">
        <v>402</v>
      </c>
      <c r="M207">
        <v>184.99</v>
      </c>
      <c r="N207" t="s">
        <v>3403</v>
      </c>
      <c r="P207">
        <v>169</v>
      </c>
      <c r="Q207" t="s">
        <v>3444</v>
      </c>
      <c r="R207" t="s">
        <v>3327</v>
      </c>
      <c r="S207">
        <v>-203</v>
      </c>
      <c r="T207">
        <v>23.27</v>
      </c>
      <c r="U207" t="s">
        <v>3327</v>
      </c>
      <c r="W207">
        <v>169</v>
      </c>
      <c r="X207" t="s">
        <v>3436</v>
      </c>
      <c r="Y207" t="s">
        <v>3326</v>
      </c>
      <c r="Z207">
        <v>-1192</v>
      </c>
      <c r="AA207">
        <v>37.39</v>
      </c>
      <c r="AB207" t="s">
        <v>3326</v>
      </c>
    </row>
    <row r="208" spans="1:28">
      <c r="A208">
        <v>170</v>
      </c>
      <c r="B208" t="s">
        <v>3436</v>
      </c>
      <c r="C208" t="s">
        <v>3326</v>
      </c>
      <c r="D208">
        <v>-1193</v>
      </c>
      <c r="F208">
        <v>37.39</v>
      </c>
      <c r="G208" t="s">
        <v>3326</v>
      </c>
      <c r="I208">
        <v>170</v>
      </c>
      <c r="J208" t="s">
        <v>3451</v>
      </c>
      <c r="K208">
        <v>1</v>
      </c>
      <c r="L208">
        <v>101</v>
      </c>
      <c r="M208">
        <v>219.79</v>
      </c>
      <c r="N208" t="s">
        <v>3403</v>
      </c>
      <c r="P208">
        <v>170</v>
      </c>
      <c r="Q208" t="s">
        <v>3444</v>
      </c>
      <c r="R208" t="s">
        <v>3327</v>
      </c>
      <c r="S208">
        <v>-204</v>
      </c>
      <c r="T208">
        <v>23.49</v>
      </c>
      <c r="U208" t="s">
        <v>3327</v>
      </c>
      <c r="W208">
        <v>170</v>
      </c>
      <c r="X208" t="s">
        <v>3436</v>
      </c>
      <c r="Y208" t="s">
        <v>3326</v>
      </c>
      <c r="Z208">
        <v>-1193</v>
      </c>
      <c r="AA208">
        <v>37.39</v>
      </c>
      <c r="AB208" t="s">
        <v>3326</v>
      </c>
    </row>
    <row r="209" spans="1:28">
      <c r="A209">
        <v>171</v>
      </c>
      <c r="B209" t="s">
        <v>3436</v>
      </c>
      <c r="C209" t="s">
        <v>3326</v>
      </c>
      <c r="D209">
        <v>-1195</v>
      </c>
      <c r="F209">
        <v>37.39</v>
      </c>
      <c r="G209" t="s">
        <v>3326</v>
      </c>
      <c r="I209">
        <v>171</v>
      </c>
      <c r="J209" t="s">
        <v>3451</v>
      </c>
      <c r="K209">
        <v>1</v>
      </c>
      <c r="L209">
        <v>102</v>
      </c>
      <c r="M209">
        <v>210.97</v>
      </c>
      <c r="N209" t="s">
        <v>3403</v>
      </c>
      <c r="P209">
        <v>171</v>
      </c>
      <c r="Q209" t="s">
        <v>3445</v>
      </c>
      <c r="R209" t="s">
        <v>3327</v>
      </c>
      <c r="S209">
        <v>-106</v>
      </c>
      <c r="T209">
        <v>23.26</v>
      </c>
      <c r="U209" t="s">
        <v>3327</v>
      </c>
      <c r="W209">
        <v>171</v>
      </c>
      <c r="X209" t="s">
        <v>3436</v>
      </c>
      <c r="Y209" t="s">
        <v>3326</v>
      </c>
      <c r="Z209">
        <v>-1195</v>
      </c>
      <c r="AA209">
        <v>37.39</v>
      </c>
      <c r="AB209" t="s">
        <v>3326</v>
      </c>
    </row>
    <row r="210" spans="1:28">
      <c r="A210">
        <v>172</v>
      </c>
      <c r="B210" t="s">
        <v>3436</v>
      </c>
      <c r="C210" t="s">
        <v>3326</v>
      </c>
      <c r="D210">
        <v>-1196</v>
      </c>
      <c r="F210">
        <v>37.39</v>
      </c>
      <c r="G210" t="s">
        <v>3326</v>
      </c>
      <c r="I210">
        <v>172</v>
      </c>
      <c r="J210" t="s">
        <v>3451</v>
      </c>
      <c r="K210">
        <v>1</v>
      </c>
      <c r="L210">
        <v>201</v>
      </c>
      <c r="M210">
        <v>230.87</v>
      </c>
      <c r="N210" t="s">
        <v>3403</v>
      </c>
      <c r="P210">
        <v>172</v>
      </c>
      <c r="Q210" t="s">
        <v>3445</v>
      </c>
      <c r="R210" t="s">
        <v>3327</v>
      </c>
      <c r="S210">
        <v>-107</v>
      </c>
      <c r="T210">
        <v>55.74</v>
      </c>
      <c r="U210" t="s">
        <v>3327</v>
      </c>
      <c r="W210">
        <v>172</v>
      </c>
      <c r="X210" t="s">
        <v>3436</v>
      </c>
      <c r="Y210" t="s">
        <v>3326</v>
      </c>
      <c r="Z210">
        <v>-1196</v>
      </c>
      <c r="AA210">
        <v>37.39</v>
      </c>
      <c r="AB210" t="s">
        <v>3326</v>
      </c>
    </row>
    <row r="211" spans="1:28">
      <c r="A211">
        <v>173</v>
      </c>
      <c r="B211" t="s">
        <v>3436</v>
      </c>
      <c r="C211" t="s">
        <v>3326</v>
      </c>
      <c r="D211">
        <v>-1197</v>
      </c>
      <c r="F211">
        <v>37.39</v>
      </c>
      <c r="G211" t="s">
        <v>3326</v>
      </c>
      <c r="I211">
        <v>173</v>
      </c>
      <c r="J211" t="s">
        <v>3451</v>
      </c>
      <c r="K211">
        <v>1</v>
      </c>
      <c r="L211">
        <v>302</v>
      </c>
      <c r="M211">
        <v>221.83</v>
      </c>
      <c r="N211" t="s">
        <v>3403</v>
      </c>
      <c r="P211">
        <v>173</v>
      </c>
      <c r="Q211" t="s">
        <v>3445</v>
      </c>
      <c r="R211" t="s">
        <v>3327</v>
      </c>
      <c r="S211">
        <v>-108</v>
      </c>
      <c r="T211">
        <v>40.76</v>
      </c>
      <c r="U211" t="s">
        <v>3327</v>
      </c>
      <c r="W211">
        <v>173</v>
      </c>
      <c r="X211" t="s">
        <v>3436</v>
      </c>
      <c r="Y211" t="s">
        <v>3326</v>
      </c>
      <c r="Z211">
        <v>-1197</v>
      </c>
      <c r="AA211">
        <v>37.39</v>
      </c>
      <c r="AB211" t="s">
        <v>3326</v>
      </c>
    </row>
    <row r="212" spans="1:28">
      <c r="A212">
        <v>174</v>
      </c>
      <c r="B212" t="s">
        <v>3436</v>
      </c>
      <c r="C212" t="s">
        <v>3326</v>
      </c>
      <c r="D212">
        <v>-1198</v>
      </c>
      <c r="F212">
        <v>35.9</v>
      </c>
      <c r="G212" t="s">
        <v>3326</v>
      </c>
      <c r="I212">
        <v>174</v>
      </c>
      <c r="J212" t="s">
        <v>3451</v>
      </c>
      <c r="K212">
        <v>1</v>
      </c>
      <c r="L212">
        <v>402</v>
      </c>
      <c r="M212">
        <v>221.83</v>
      </c>
      <c r="N212" t="s">
        <v>3403</v>
      </c>
      <c r="P212">
        <v>174</v>
      </c>
      <c r="Q212" t="s">
        <v>3445</v>
      </c>
      <c r="R212" t="s">
        <v>3327</v>
      </c>
      <c r="S212">
        <v>-109</v>
      </c>
      <c r="T212">
        <v>40.76</v>
      </c>
      <c r="U212" t="s">
        <v>3327</v>
      </c>
      <c r="W212">
        <v>174</v>
      </c>
      <c r="X212" t="s">
        <v>3436</v>
      </c>
      <c r="Y212" t="s">
        <v>3326</v>
      </c>
      <c r="Z212">
        <v>-1198</v>
      </c>
      <c r="AA212">
        <v>35.9</v>
      </c>
      <c r="AB212" t="s">
        <v>3326</v>
      </c>
    </row>
    <row r="213" spans="1:28">
      <c r="A213">
        <v>175</v>
      </c>
      <c r="B213" t="s">
        <v>3436</v>
      </c>
      <c r="C213" t="s">
        <v>3326</v>
      </c>
      <c r="D213">
        <v>-1199</v>
      </c>
      <c r="F213">
        <v>35.9</v>
      </c>
      <c r="G213" t="s">
        <v>3326</v>
      </c>
      <c r="I213">
        <v>175</v>
      </c>
      <c r="J213" t="s">
        <v>3451</v>
      </c>
      <c r="K213">
        <v>2</v>
      </c>
      <c r="L213">
        <v>101</v>
      </c>
      <c r="M213">
        <v>210.97</v>
      </c>
      <c r="N213" t="s">
        <v>3403</v>
      </c>
      <c r="P213">
        <v>175</v>
      </c>
      <c r="Q213" t="s">
        <v>3445</v>
      </c>
      <c r="R213" t="s">
        <v>3327</v>
      </c>
      <c r="S213">
        <v>-110</v>
      </c>
      <c r="T213">
        <v>55.74</v>
      </c>
      <c r="U213" t="s">
        <v>3327</v>
      </c>
      <c r="W213">
        <v>175</v>
      </c>
      <c r="X213" t="s">
        <v>3436</v>
      </c>
      <c r="Y213" t="s">
        <v>3326</v>
      </c>
      <c r="Z213">
        <v>-1199</v>
      </c>
      <c r="AA213">
        <v>35.9</v>
      </c>
      <c r="AB213" t="s">
        <v>3326</v>
      </c>
    </row>
    <row r="214" spans="1:28">
      <c r="A214">
        <v>176</v>
      </c>
      <c r="B214" t="s">
        <v>3436</v>
      </c>
      <c r="C214" t="s">
        <v>3326</v>
      </c>
      <c r="D214">
        <v>-1200</v>
      </c>
      <c r="F214">
        <v>37.39</v>
      </c>
      <c r="G214" t="s">
        <v>3326</v>
      </c>
      <c r="I214">
        <v>176</v>
      </c>
      <c r="J214" t="s">
        <v>3451</v>
      </c>
      <c r="K214">
        <v>2</v>
      </c>
      <c r="L214">
        <v>102</v>
      </c>
      <c r="M214">
        <v>210.97</v>
      </c>
      <c r="N214" t="s">
        <v>3403</v>
      </c>
      <c r="P214">
        <v>176</v>
      </c>
      <c r="Q214" t="s">
        <v>3445</v>
      </c>
      <c r="R214" t="s">
        <v>3327</v>
      </c>
      <c r="S214">
        <v>-111</v>
      </c>
      <c r="T214">
        <v>23.26</v>
      </c>
      <c r="U214" t="s">
        <v>3327</v>
      </c>
      <c r="W214">
        <v>176</v>
      </c>
      <c r="X214" t="s">
        <v>3436</v>
      </c>
      <c r="Y214" t="s">
        <v>3326</v>
      </c>
      <c r="Z214">
        <v>-1200</v>
      </c>
      <c r="AA214">
        <v>37.39</v>
      </c>
      <c r="AB214" t="s">
        <v>3326</v>
      </c>
    </row>
    <row r="215" spans="1:28">
      <c r="A215">
        <v>177</v>
      </c>
      <c r="B215" t="s">
        <v>3436</v>
      </c>
      <c r="C215" t="s">
        <v>3326</v>
      </c>
      <c r="D215">
        <v>-1201</v>
      </c>
      <c r="F215">
        <v>37.39</v>
      </c>
      <c r="G215" t="s">
        <v>3326</v>
      </c>
      <c r="I215">
        <v>177</v>
      </c>
      <c r="J215" t="s">
        <v>3451</v>
      </c>
      <c r="K215">
        <v>2</v>
      </c>
      <c r="L215">
        <v>201</v>
      </c>
      <c r="M215">
        <v>221.83</v>
      </c>
      <c r="N215" t="s">
        <v>3403</v>
      </c>
      <c r="P215">
        <v>177</v>
      </c>
      <c r="Q215" t="s">
        <v>3445</v>
      </c>
      <c r="R215" t="s">
        <v>3327</v>
      </c>
      <c r="S215">
        <v>-112</v>
      </c>
      <c r="T215">
        <v>23.26</v>
      </c>
      <c r="U215" t="s">
        <v>3327</v>
      </c>
      <c r="W215">
        <v>177</v>
      </c>
      <c r="X215" t="s">
        <v>3436</v>
      </c>
      <c r="Y215" t="s">
        <v>3326</v>
      </c>
      <c r="Z215">
        <v>-1201</v>
      </c>
      <c r="AA215">
        <v>37.39</v>
      </c>
      <c r="AB215" t="s">
        <v>3326</v>
      </c>
    </row>
    <row r="216" spans="1:28">
      <c r="A216">
        <v>178</v>
      </c>
      <c r="B216" t="s">
        <v>3436</v>
      </c>
      <c r="C216" t="s">
        <v>3326</v>
      </c>
      <c r="D216">
        <v>-1202</v>
      </c>
      <c r="F216">
        <v>55.34</v>
      </c>
      <c r="G216" t="s">
        <v>3326</v>
      </c>
      <c r="I216">
        <v>178</v>
      </c>
      <c r="J216" t="s">
        <v>3451</v>
      </c>
      <c r="K216">
        <v>2</v>
      </c>
      <c r="L216">
        <v>202</v>
      </c>
      <c r="M216">
        <v>221.83</v>
      </c>
      <c r="N216" t="s">
        <v>3403</v>
      </c>
      <c r="P216">
        <v>178</v>
      </c>
      <c r="Q216" t="s">
        <v>3445</v>
      </c>
      <c r="R216" t="s">
        <v>3327</v>
      </c>
      <c r="S216">
        <v>-113</v>
      </c>
      <c r="T216">
        <v>55.74</v>
      </c>
      <c r="U216" t="s">
        <v>3327</v>
      </c>
      <c r="W216">
        <v>178</v>
      </c>
      <c r="X216" t="s">
        <v>3436</v>
      </c>
      <c r="Y216" t="s">
        <v>3326</v>
      </c>
      <c r="Z216">
        <v>-1202</v>
      </c>
      <c r="AA216">
        <v>55.34</v>
      </c>
      <c r="AB216" t="s">
        <v>3326</v>
      </c>
    </row>
    <row r="217" spans="1:28">
      <c r="A217">
        <v>179</v>
      </c>
      <c r="B217" t="s">
        <v>3436</v>
      </c>
      <c r="C217" t="s">
        <v>3326</v>
      </c>
      <c r="D217">
        <v>-1204</v>
      </c>
      <c r="F217">
        <v>35.9</v>
      </c>
      <c r="G217" t="s">
        <v>3326</v>
      </c>
      <c r="I217">
        <v>179</v>
      </c>
      <c r="J217" t="s">
        <v>3451</v>
      </c>
      <c r="K217">
        <v>2</v>
      </c>
      <c r="L217">
        <v>301</v>
      </c>
      <c r="M217">
        <v>221.83</v>
      </c>
      <c r="N217" t="s">
        <v>3403</v>
      </c>
      <c r="P217">
        <v>179</v>
      </c>
      <c r="Q217" t="s">
        <v>3445</v>
      </c>
      <c r="R217" t="s">
        <v>3327</v>
      </c>
      <c r="S217">
        <v>-114</v>
      </c>
      <c r="T217">
        <v>40.46</v>
      </c>
      <c r="U217" t="s">
        <v>3327</v>
      </c>
      <c r="W217">
        <v>179</v>
      </c>
      <c r="X217" t="s">
        <v>3436</v>
      </c>
      <c r="Y217" t="s">
        <v>3326</v>
      </c>
      <c r="Z217">
        <v>-1204</v>
      </c>
      <c r="AA217">
        <v>35.9</v>
      </c>
      <c r="AB217" t="s">
        <v>3326</v>
      </c>
    </row>
    <row r="218" spans="1:28">
      <c r="A218">
        <v>180</v>
      </c>
      <c r="B218" t="s">
        <v>3436</v>
      </c>
      <c r="C218" t="s">
        <v>3326</v>
      </c>
      <c r="D218">
        <v>-1205</v>
      </c>
      <c r="F218">
        <v>37.39</v>
      </c>
      <c r="G218" t="s">
        <v>3326</v>
      </c>
      <c r="I218">
        <v>180</v>
      </c>
      <c r="J218" t="s">
        <v>3451</v>
      </c>
      <c r="K218">
        <v>2</v>
      </c>
      <c r="L218">
        <v>302</v>
      </c>
      <c r="M218">
        <v>221.83</v>
      </c>
      <c r="N218" t="s">
        <v>3403</v>
      </c>
      <c r="P218">
        <v>180</v>
      </c>
      <c r="Q218" t="s">
        <v>3445</v>
      </c>
      <c r="R218" t="s">
        <v>3327</v>
      </c>
      <c r="S218">
        <v>-115</v>
      </c>
      <c r="T218">
        <v>40.46</v>
      </c>
      <c r="U218" t="s">
        <v>3327</v>
      </c>
      <c r="W218">
        <v>180</v>
      </c>
      <c r="X218" t="s">
        <v>3436</v>
      </c>
      <c r="Y218" t="s">
        <v>3326</v>
      </c>
      <c r="Z218">
        <v>-1205</v>
      </c>
      <c r="AA218">
        <v>37.39</v>
      </c>
      <c r="AB218" t="s">
        <v>3326</v>
      </c>
    </row>
    <row r="219" spans="1:28">
      <c r="A219">
        <v>181</v>
      </c>
      <c r="B219" t="s">
        <v>3436</v>
      </c>
      <c r="C219" t="s">
        <v>3326</v>
      </c>
      <c r="D219">
        <v>-1206</v>
      </c>
      <c r="F219">
        <v>37.39</v>
      </c>
      <c r="G219" t="s">
        <v>3326</v>
      </c>
      <c r="I219">
        <v>181</v>
      </c>
      <c r="J219" t="s">
        <v>3451</v>
      </c>
      <c r="K219">
        <v>2</v>
      </c>
      <c r="L219">
        <v>401</v>
      </c>
      <c r="M219">
        <v>221.83</v>
      </c>
      <c r="N219" t="s">
        <v>3403</v>
      </c>
      <c r="P219">
        <v>181</v>
      </c>
      <c r="Q219" t="s">
        <v>3445</v>
      </c>
      <c r="R219" t="s">
        <v>3327</v>
      </c>
      <c r="S219">
        <v>-116</v>
      </c>
      <c r="T219">
        <v>55.74</v>
      </c>
      <c r="U219" t="s">
        <v>3327</v>
      </c>
      <c r="W219">
        <v>181</v>
      </c>
      <c r="X219" t="s">
        <v>3436</v>
      </c>
      <c r="Y219" t="s">
        <v>3326</v>
      </c>
      <c r="Z219">
        <v>-1206</v>
      </c>
      <c r="AA219">
        <v>37.39</v>
      </c>
      <c r="AB219" t="s">
        <v>3326</v>
      </c>
    </row>
    <row r="220" spans="1:28">
      <c r="A220">
        <v>182</v>
      </c>
      <c r="B220" t="s">
        <v>3436</v>
      </c>
      <c r="C220" t="s">
        <v>3326</v>
      </c>
      <c r="D220">
        <v>-1207</v>
      </c>
      <c r="F220">
        <v>35.9</v>
      </c>
      <c r="G220" t="s">
        <v>3326</v>
      </c>
      <c r="I220">
        <v>182</v>
      </c>
      <c r="J220" t="s">
        <v>3451</v>
      </c>
      <c r="K220">
        <v>3</v>
      </c>
      <c r="L220">
        <v>101</v>
      </c>
      <c r="M220">
        <v>210.97</v>
      </c>
      <c r="N220" t="s">
        <v>3403</v>
      </c>
      <c r="P220">
        <v>182</v>
      </c>
      <c r="Q220" t="s">
        <v>3445</v>
      </c>
      <c r="R220" t="s">
        <v>3327</v>
      </c>
      <c r="S220">
        <v>-117</v>
      </c>
      <c r="T220">
        <v>23.26</v>
      </c>
      <c r="U220" t="s">
        <v>3327</v>
      </c>
      <c r="W220">
        <v>182</v>
      </c>
      <c r="X220" t="s">
        <v>3436</v>
      </c>
      <c r="Y220" t="s">
        <v>3326</v>
      </c>
      <c r="Z220">
        <v>-1207</v>
      </c>
      <c r="AA220">
        <v>35.9</v>
      </c>
      <c r="AB220" t="s">
        <v>3326</v>
      </c>
    </row>
    <row r="221" spans="1:28">
      <c r="A221">
        <v>183</v>
      </c>
      <c r="B221" t="s">
        <v>3436</v>
      </c>
      <c r="C221" t="s">
        <v>3326</v>
      </c>
      <c r="D221">
        <v>-1208</v>
      </c>
      <c r="F221">
        <v>35.9</v>
      </c>
      <c r="G221" t="s">
        <v>3326</v>
      </c>
      <c r="I221">
        <v>183</v>
      </c>
      <c r="J221" t="s">
        <v>3451</v>
      </c>
      <c r="K221">
        <v>3</v>
      </c>
      <c r="L221">
        <v>201</v>
      </c>
      <c r="M221">
        <v>221.83</v>
      </c>
      <c r="N221" t="s">
        <v>3403</v>
      </c>
      <c r="P221">
        <v>183</v>
      </c>
      <c r="Q221" t="s">
        <v>3445</v>
      </c>
      <c r="R221" t="s">
        <v>3327</v>
      </c>
      <c r="S221">
        <v>-118</v>
      </c>
      <c r="T221">
        <v>23.26</v>
      </c>
      <c r="U221" t="s">
        <v>3327</v>
      </c>
      <c r="W221">
        <v>183</v>
      </c>
      <c r="X221" t="s">
        <v>3436</v>
      </c>
      <c r="Y221" t="s">
        <v>3326</v>
      </c>
      <c r="Z221">
        <v>-1208</v>
      </c>
      <c r="AA221">
        <v>35.9</v>
      </c>
      <c r="AB221" t="s">
        <v>3326</v>
      </c>
    </row>
    <row r="222" spans="1:28">
      <c r="A222">
        <v>184</v>
      </c>
      <c r="B222" t="s">
        <v>3436</v>
      </c>
      <c r="C222" t="s">
        <v>3326</v>
      </c>
      <c r="D222">
        <v>-1209</v>
      </c>
      <c r="F222">
        <v>35.9</v>
      </c>
      <c r="G222" t="s">
        <v>3326</v>
      </c>
      <c r="I222">
        <v>184</v>
      </c>
      <c r="J222" t="s">
        <v>3451</v>
      </c>
      <c r="K222">
        <v>3</v>
      </c>
      <c r="L222">
        <v>401</v>
      </c>
      <c r="M222">
        <v>221.83</v>
      </c>
      <c r="N222" t="s">
        <v>3403</v>
      </c>
      <c r="P222">
        <v>184</v>
      </c>
      <c r="Q222" t="s">
        <v>3445</v>
      </c>
      <c r="R222" t="s">
        <v>3327</v>
      </c>
      <c r="S222">
        <v>-119</v>
      </c>
      <c r="T222">
        <v>52.86</v>
      </c>
      <c r="U222" t="s">
        <v>3327</v>
      </c>
      <c r="W222">
        <v>184</v>
      </c>
      <c r="X222" t="s">
        <v>3436</v>
      </c>
      <c r="Y222" t="s">
        <v>3326</v>
      </c>
      <c r="Z222">
        <v>-1209</v>
      </c>
      <c r="AA222">
        <v>35.9</v>
      </c>
      <c r="AB222" t="s">
        <v>3326</v>
      </c>
    </row>
    <row r="223" spans="1:28">
      <c r="A223">
        <v>185</v>
      </c>
      <c r="B223" t="s">
        <v>3436</v>
      </c>
      <c r="C223" t="s">
        <v>3326</v>
      </c>
      <c r="D223">
        <v>-1210</v>
      </c>
      <c r="F223">
        <v>35.9</v>
      </c>
      <c r="G223" t="s">
        <v>3326</v>
      </c>
      <c r="I223">
        <v>185</v>
      </c>
      <c r="J223" t="s">
        <v>3452</v>
      </c>
      <c r="K223">
        <v>1</v>
      </c>
      <c r="L223">
        <v>102</v>
      </c>
      <c r="M223">
        <v>210.99</v>
      </c>
      <c r="N223" t="s">
        <v>3403</v>
      </c>
      <c r="P223">
        <v>185</v>
      </c>
      <c r="Q223" t="s">
        <v>3445</v>
      </c>
      <c r="R223" t="s">
        <v>3327</v>
      </c>
      <c r="S223">
        <v>-120</v>
      </c>
      <c r="T223">
        <v>45.76</v>
      </c>
      <c r="U223" t="s">
        <v>3327</v>
      </c>
      <c r="W223">
        <v>185</v>
      </c>
      <c r="X223" t="s">
        <v>3436</v>
      </c>
      <c r="Y223" t="s">
        <v>3326</v>
      </c>
      <c r="Z223">
        <v>-1210</v>
      </c>
      <c r="AA223">
        <v>35.9</v>
      </c>
      <c r="AB223" t="s">
        <v>3326</v>
      </c>
    </row>
    <row r="224" spans="1:28">
      <c r="A224">
        <v>186</v>
      </c>
      <c r="B224" t="s">
        <v>3436</v>
      </c>
      <c r="C224" t="s">
        <v>3326</v>
      </c>
      <c r="D224">
        <v>-1213</v>
      </c>
      <c r="F224">
        <v>37.39</v>
      </c>
      <c r="G224" t="s">
        <v>3326</v>
      </c>
      <c r="I224">
        <v>186</v>
      </c>
      <c r="J224" t="s">
        <v>3452</v>
      </c>
      <c r="K224">
        <v>1</v>
      </c>
      <c r="L224">
        <v>201</v>
      </c>
      <c r="M224">
        <v>230.9</v>
      </c>
      <c r="N224" t="s">
        <v>3403</v>
      </c>
      <c r="P224">
        <v>186</v>
      </c>
      <c r="Q224" t="s">
        <v>3445</v>
      </c>
      <c r="R224" t="s">
        <v>3327</v>
      </c>
      <c r="S224">
        <v>-121</v>
      </c>
      <c r="T224">
        <v>16.02</v>
      </c>
      <c r="U224" t="s">
        <v>3327</v>
      </c>
      <c r="W224">
        <v>186</v>
      </c>
      <c r="X224" t="s">
        <v>3436</v>
      </c>
      <c r="Y224" t="s">
        <v>3326</v>
      </c>
      <c r="Z224">
        <v>-1213</v>
      </c>
      <c r="AA224">
        <v>37.39</v>
      </c>
      <c r="AB224" t="s">
        <v>3326</v>
      </c>
    </row>
    <row r="225" spans="1:28">
      <c r="A225">
        <v>187</v>
      </c>
      <c r="B225" t="s">
        <v>3436</v>
      </c>
      <c r="C225" t="s">
        <v>3326</v>
      </c>
      <c r="D225">
        <v>-1214</v>
      </c>
      <c r="F225">
        <v>37.39</v>
      </c>
      <c r="G225" t="s">
        <v>3326</v>
      </c>
      <c r="I225">
        <v>187</v>
      </c>
      <c r="J225" t="s">
        <v>3452</v>
      </c>
      <c r="K225">
        <v>1</v>
      </c>
      <c r="L225">
        <v>302</v>
      </c>
      <c r="M225">
        <v>221.85</v>
      </c>
      <c r="N225" t="s">
        <v>3403</v>
      </c>
      <c r="P225">
        <v>187</v>
      </c>
      <c r="Q225" t="s">
        <v>3445</v>
      </c>
      <c r="R225" t="s">
        <v>3327</v>
      </c>
      <c r="S225">
        <v>-122</v>
      </c>
      <c r="T225">
        <v>30.5</v>
      </c>
      <c r="U225" t="s">
        <v>3327</v>
      </c>
      <c r="W225">
        <v>187</v>
      </c>
      <c r="X225" t="s">
        <v>3436</v>
      </c>
      <c r="Y225" t="s">
        <v>3326</v>
      </c>
      <c r="Z225">
        <v>-1214</v>
      </c>
      <c r="AA225">
        <v>37.39</v>
      </c>
      <c r="AB225" t="s">
        <v>3326</v>
      </c>
    </row>
    <row r="226" spans="1:28">
      <c r="A226">
        <v>188</v>
      </c>
      <c r="B226" t="s">
        <v>3436</v>
      </c>
      <c r="C226" t="s">
        <v>3326</v>
      </c>
      <c r="D226">
        <v>-1215</v>
      </c>
      <c r="F226">
        <v>37.39</v>
      </c>
      <c r="G226" t="s">
        <v>3326</v>
      </c>
      <c r="I226">
        <v>188</v>
      </c>
      <c r="J226" t="s">
        <v>3452</v>
      </c>
      <c r="K226">
        <v>1</v>
      </c>
      <c r="L226">
        <v>401</v>
      </c>
      <c r="M226">
        <v>230.9</v>
      </c>
      <c r="N226" t="s">
        <v>3403</v>
      </c>
      <c r="P226">
        <v>188</v>
      </c>
      <c r="Q226" t="s">
        <v>3445</v>
      </c>
      <c r="R226" t="s">
        <v>3327</v>
      </c>
      <c r="S226">
        <v>-123</v>
      </c>
      <c r="T226">
        <v>15.08</v>
      </c>
      <c r="U226" t="s">
        <v>3327</v>
      </c>
      <c r="W226">
        <v>188</v>
      </c>
      <c r="X226" t="s">
        <v>3436</v>
      </c>
      <c r="Y226" t="s">
        <v>3326</v>
      </c>
      <c r="Z226">
        <v>-1215</v>
      </c>
      <c r="AA226">
        <v>37.39</v>
      </c>
      <c r="AB226" t="s">
        <v>3326</v>
      </c>
    </row>
    <row r="227" spans="1:28">
      <c r="A227">
        <v>189</v>
      </c>
      <c r="B227" t="s">
        <v>3436</v>
      </c>
      <c r="C227" t="s">
        <v>3326</v>
      </c>
      <c r="D227">
        <v>-1216</v>
      </c>
      <c r="F227">
        <v>37.39</v>
      </c>
      <c r="G227" t="s">
        <v>3326</v>
      </c>
      <c r="I227">
        <v>189</v>
      </c>
      <c r="J227" t="s">
        <v>3452</v>
      </c>
      <c r="K227">
        <v>1</v>
      </c>
      <c r="L227">
        <v>402</v>
      </c>
      <c r="M227">
        <v>221.85</v>
      </c>
      <c r="N227" t="s">
        <v>3403</v>
      </c>
      <c r="P227">
        <v>189</v>
      </c>
      <c r="Q227" t="s">
        <v>3445</v>
      </c>
      <c r="R227" t="s">
        <v>3327</v>
      </c>
      <c r="S227">
        <v>-124</v>
      </c>
      <c r="T227">
        <v>18.850000000000001</v>
      </c>
      <c r="U227" t="s">
        <v>3327</v>
      </c>
      <c r="W227">
        <v>189</v>
      </c>
      <c r="X227" t="s">
        <v>3436</v>
      </c>
      <c r="Y227" t="s">
        <v>3326</v>
      </c>
      <c r="Z227">
        <v>-1216</v>
      </c>
      <c r="AA227">
        <v>37.39</v>
      </c>
      <c r="AB227" t="s">
        <v>3326</v>
      </c>
    </row>
    <row r="228" spans="1:28">
      <c r="A228">
        <v>190</v>
      </c>
      <c r="B228" t="s">
        <v>3436</v>
      </c>
      <c r="C228" t="s">
        <v>3326</v>
      </c>
      <c r="D228">
        <v>-1218</v>
      </c>
      <c r="F228">
        <v>37.39</v>
      </c>
      <c r="G228" t="s">
        <v>3326</v>
      </c>
      <c r="I228">
        <v>190</v>
      </c>
      <c r="J228" t="s">
        <v>3452</v>
      </c>
      <c r="K228">
        <v>2</v>
      </c>
      <c r="L228">
        <v>101</v>
      </c>
      <c r="M228">
        <v>210.99</v>
      </c>
      <c r="N228" t="s">
        <v>3403</v>
      </c>
      <c r="P228">
        <v>190</v>
      </c>
      <c r="Q228" t="s">
        <v>3445</v>
      </c>
      <c r="R228" t="s">
        <v>3327</v>
      </c>
      <c r="S228">
        <v>-125</v>
      </c>
      <c r="T228">
        <v>18.850000000000001</v>
      </c>
      <c r="U228" t="s">
        <v>3327</v>
      </c>
      <c r="W228">
        <v>190</v>
      </c>
      <c r="X228" t="s">
        <v>3436</v>
      </c>
      <c r="Y228" t="s">
        <v>3326</v>
      </c>
      <c r="Z228">
        <v>-1218</v>
      </c>
      <c r="AA228">
        <v>37.39</v>
      </c>
      <c r="AB228" t="s">
        <v>3326</v>
      </c>
    </row>
    <row r="229" spans="1:28">
      <c r="A229">
        <v>191</v>
      </c>
      <c r="B229" t="s">
        <v>3436</v>
      </c>
      <c r="C229" t="s">
        <v>3326</v>
      </c>
      <c r="D229">
        <v>-1219</v>
      </c>
      <c r="F229">
        <v>37.39</v>
      </c>
      <c r="G229" t="s">
        <v>3326</v>
      </c>
      <c r="I229">
        <v>191</v>
      </c>
      <c r="J229" t="s">
        <v>3452</v>
      </c>
      <c r="K229">
        <v>2</v>
      </c>
      <c r="L229">
        <v>102</v>
      </c>
      <c r="M229">
        <v>210.99</v>
      </c>
      <c r="N229" t="s">
        <v>3403</v>
      </c>
      <c r="P229">
        <v>191</v>
      </c>
      <c r="Q229" t="s">
        <v>3445</v>
      </c>
      <c r="R229" t="s">
        <v>3327</v>
      </c>
      <c r="S229">
        <v>-126</v>
      </c>
      <c r="T229">
        <v>15.08</v>
      </c>
      <c r="U229" t="s">
        <v>3327</v>
      </c>
      <c r="W229">
        <v>191</v>
      </c>
      <c r="X229" t="s">
        <v>3436</v>
      </c>
      <c r="Y229" t="s">
        <v>3326</v>
      </c>
      <c r="Z229">
        <v>-1219</v>
      </c>
      <c r="AA229">
        <v>37.39</v>
      </c>
      <c r="AB229" t="s">
        <v>3326</v>
      </c>
    </row>
    <row r="230" spans="1:28">
      <c r="A230">
        <v>192</v>
      </c>
      <c r="B230" t="s">
        <v>3436</v>
      </c>
      <c r="C230" t="s">
        <v>3326</v>
      </c>
      <c r="D230">
        <v>-1220</v>
      </c>
      <c r="F230">
        <v>37.39</v>
      </c>
      <c r="G230" t="s">
        <v>3326</v>
      </c>
      <c r="I230">
        <v>192</v>
      </c>
      <c r="J230" t="s">
        <v>3452</v>
      </c>
      <c r="K230">
        <v>2</v>
      </c>
      <c r="L230">
        <v>202</v>
      </c>
      <c r="M230">
        <v>221.85</v>
      </c>
      <c r="N230" t="s">
        <v>3403</v>
      </c>
      <c r="P230">
        <v>192</v>
      </c>
      <c r="Q230" t="s">
        <v>3445</v>
      </c>
      <c r="R230" t="s">
        <v>3327</v>
      </c>
      <c r="S230">
        <v>-127</v>
      </c>
      <c r="T230">
        <v>27.19</v>
      </c>
      <c r="U230" t="s">
        <v>3327</v>
      </c>
      <c r="W230">
        <v>192</v>
      </c>
      <c r="X230" t="s">
        <v>3436</v>
      </c>
      <c r="Y230" t="s">
        <v>3326</v>
      </c>
      <c r="Z230">
        <v>-1220</v>
      </c>
      <c r="AA230">
        <v>37.39</v>
      </c>
      <c r="AB230" t="s">
        <v>3326</v>
      </c>
    </row>
    <row r="231" spans="1:28">
      <c r="A231">
        <v>193</v>
      </c>
      <c r="B231" t="s">
        <v>3436</v>
      </c>
      <c r="C231" t="s">
        <v>3326</v>
      </c>
      <c r="D231">
        <v>-1221</v>
      </c>
      <c r="F231">
        <v>37.39</v>
      </c>
      <c r="G231" t="s">
        <v>3326</v>
      </c>
      <c r="I231">
        <v>193</v>
      </c>
      <c r="J231" t="s">
        <v>3452</v>
      </c>
      <c r="K231">
        <v>2</v>
      </c>
      <c r="L231">
        <v>302</v>
      </c>
      <c r="M231">
        <v>221.85</v>
      </c>
      <c r="N231" t="s">
        <v>3403</v>
      </c>
      <c r="P231">
        <v>193</v>
      </c>
      <c r="Q231" t="s">
        <v>3445</v>
      </c>
      <c r="R231" t="s">
        <v>3327</v>
      </c>
      <c r="S231">
        <v>-128</v>
      </c>
      <c r="T231">
        <v>19.48</v>
      </c>
      <c r="U231" t="s">
        <v>3327</v>
      </c>
      <c r="W231">
        <v>193</v>
      </c>
      <c r="X231" t="s">
        <v>3436</v>
      </c>
      <c r="Y231" t="s">
        <v>3326</v>
      </c>
      <c r="Z231">
        <v>-1221</v>
      </c>
      <c r="AA231">
        <v>37.39</v>
      </c>
      <c r="AB231" t="s">
        <v>3326</v>
      </c>
    </row>
    <row r="232" spans="1:28">
      <c r="A232">
        <v>194</v>
      </c>
      <c r="B232" t="s">
        <v>3436</v>
      </c>
      <c r="C232" t="s">
        <v>3326</v>
      </c>
      <c r="D232">
        <v>-1223</v>
      </c>
      <c r="F232">
        <v>37.39</v>
      </c>
      <c r="G232" t="s">
        <v>3326</v>
      </c>
      <c r="I232">
        <v>194</v>
      </c>
      <c r="J232" t="s">
        <v>3452</v>
      </c>
      <c r="K232">
        <v>2</v>
      </c>
      <c r="L232">
        <v>401</v>
      </c>
      <c r="M232">
        <v>221.85</v>
      </c>
      <c r="N232" t="s">
        <v>3403</v>
      </c>
      <c r="P232">
        <v>194</v>
      </c>
      <c r="Q232" t="s">
        <v>3445</v>
      </c>
      <c r="R232" t="s">
        <v>3327</v>
      </c>
      <c r="S232">
        <v>-129</v>
      </c>
      <c r="T232">
        <v>19.48</v>
      </c>
      <c r="U232" t="s">
        <v>3327</v>
      </c>
      <c r="W232">
        <v>194</v>
      </c>
      <c r="X232" t="s">
        <v>3436</v>
      </c>
      <c r="Y232" t="s">
        <v>3326</v>
      </c>
      <c r="Z232">
        <v>-1223</v>
      </c>
      <c r="AA232">
        <v>37.39</v>
      </c>
      <c r="AB232" t="s">
        <v>3326</v>
      </c>
    </row>
    <row r="233" spans="1:28">
      <c r="A233">
        <v>195</v>
      </c>
      <c r="B233" t="s">
        <v>3436</v>
      </c>
      <c r="C233" t="s">
        <v>3326</v>
      </c>
      <c r="D233">
        <v>-1224</v>
      </c>
      <c r="F233">
        <v>37.39</v>
      </c>
      <c r="G233" t="s">
        <v>3326</v>
      </c>
      <c r="I233">
        <v>195</v>
      </c>
      <c r="J233" t="s">
        <v>3452</v>
      </c>
      <c r="K233">
        <v>3</v>
      </c>
      <c r="L233">
        <v>101</v>
      </c>
      <c r="M233">
        <v>210.99</v>
      </c>
      <c r="N233" t="s">
        <v>3403</v>
      </c>
      <c r="P233">
        <v>195</v>
      </c>
      <c r="Q233" t="s">
        <v>3445</v>
      </c>
      <c r="R233" t="s">
        <v>3327</v>
      </c>
      <c r="S233">
        <v>-130</v>
      </c>
      <c r="T233">
        <v>15.08</v>
      </c>
      <c r="U233" t="s">
        <v>3327</v>
      </c>
      <c r="W233">
        <v>195</v>
      </c>
      <c r="X233" t="s">
        <v>3436</v>
      </c>
      <c r="Y233" t="s">
        <v>3326</v>
      </c>
      <c r="Z233">
        <v>-1224</v>
      </c>
      <c r="AA233">
        <v>37.39</v>
      </c>
      <c r="AB233" t="s">
        <v>3326</v>
      </c>
    </row>
    <row r="234" spans="1:28">
      <c r="A234">
        <v>196</v>
      </c>
      <c r="B234" t="s">
        <v>3436</v>
      </c>
      <c r="C234" t="s">
        <v>3326</v>
      </c>
      <c r="D234">
        <v>-1225</v>
      </c>
      <c r="F234">
        <v>37.39</v>
      </c>
      <c r="G234" t="s">
        <v>3326</v>
      </c>
      <c r="I234">
        <v>196</v>
      </c>
      <c r="J234" t="s">
        <v>3452</v>
      </c>
      <c r="K234">
        <v>3</v>
      </c>
      <c r="L234">
        <v>102</v>
      </c>
      <c r="M234">
        <v>219.81</v>
      </c>
      <c r="N234" t="s">
        <v>3403</v>
      </c>
      <c r="P234">
        <v>196</v>
      </c>
      <c r="Q234" t="s">
        <v>3445</v>
      </c>
      <c r="R234" t="s">
        <v>3327</v>
      </c>
      <c r="S234">
        <v>-202</v>
      </c>
      <c r="T234">
        <v>16.489999999999998</v>
      </c>
      <c r="U234" t="s">
        <v>3327</v>
      </c>
      <c r="W234">
        <v>196</v>
      </c>
      <c r="X234" t="s">
        <v>3436</v>
      </c>
      <c r="Y234" t="s">
        <v>3326</v>
      </c>
      <c r="Z234">
        <v>-1225</v>
      </c>
      <c r="AA234">
        <v>37.39</v>
      </c>
      <c r="AB234" t="s">
        <v>3326</v>
      </c>
    </row>
    <row r="235" spans="1:28">
      <c r="A235">
        <v>197</v>
      </c>
      <c r="B235" t="s">
        <v>3436</v>
      </c>
      <c r="C235" t="s">
        <v>3326</v>
      </c>
      <c r="D235">
        <v>-1226</v>
      </c>
      <c r="F235">
        <v>37.39</v>
      </c>
      <c r="G235" t="s">
        <v>3326</v>
      </c>
      <c r="I235">
        <v>197</v>
      </c>
      <c r="J235" t="s">
        <v>3452</v>
      </c>
      <c r="K235">
        <v>3</v>
      </c>
      <c r="L235">
        <v>201</v>
      </c>
      <c r="M235">
        <v>221.85</v>
      </c>
      <c r="N235" t="s">
        <v>3403</v>
      </c>
      <c r="P235">
        <v>197</v>
      </c>
      <c r="Q235" t="s">
        <v>3445</v>
      </c>
      <c r="R235" t="s">
        <v>3327</v>
      </c>
      <c r="S235">
        <v>-203</v>
      </c>
      <c r="T235">
        <v>16.489999999999998</v>
      </c>
      <c r="U235" t="s">
        <v>3327</v>
      </c>
      <c r="W235">
        <v>197</v>
      </c>
      <c r="X235" t="s">
        <v>3436</v>
      </c>
      <c r="Y235" t="s">
        <v>3326</v>
      </c>
      <c r="Z235">
        <v>-1226</v>
      </c>
      <c r="AA235">
        <v>37.39</v>
      </c>
      <c r="AB235" t="s">
        <v>3326</v>
      </c>
    </row>
    <row r="236" spans="1:28">
      <c r="A236">
        <v>198</v>
      </c>
      <c r="B236" t="s">
        <v>3436</v>
      </c>
      <c r="C236" t="s">
        <v>3326</v>
      </c>
      <c r="D236">
        <v>-1229</v>
      </c>
      <c r="F236">
        <v>37.39</v>
      </c>
      <c r="G236" t="s">
        <v>3326</v>
      </c>
      <c r="I236">
        <v>198</v>
      </c>
      <c r="J236" t="s">
        <v>3452</v>
      </c>
      <c r="K236">
        <v>3</v>
      </c>
      <c r="L236">
        <v>202</v>
      </c>
      <c r="M236">
        <v>230.9</v>
      </c>
      <c r="N236" t="s">
        <v>3403</v>
      </c>
      <c r="P236">
        <v>198</v>
      </c>
      <c r="Q236" t="s">
        <v>3445</v>
      </c>
      <c r="R236" t="s">
        <v>3327</v>
      </c>
      <c r="S236">
        <v>-204</v>
      </c>
      <c r="T236">
        <v>16.98</v>
      </c>
      <c r="U236" t="s">
        <v>3327</v>
      </c>
      <c r="W236">
        <v>198</v>
      </c>
      <c r="X236" t="s">
        <v>3436</v>
      </c>
      <c r="Y236" t="s">
        <v>3326</v>
      </c>
      <c r="Z236">
        <v>-1229</v>
      </c>
      <c r="AA236">
        <v>37.39</v>
      </c>
      <c r="AB236" t="s">
        <v>3326</v>
      </c>
    </row>
    <row r="237" spans="1:28">
      <c r="A237">
        <v>199</v>
      </c>
      <c r="B237" t="s">
        <v>3436</v>
      </c>
      <c r="C237" t="s">
        <v>3326</v>
      </c>
      <c r="D237">
        <v>-1231</v>
      </c>
      <c r="F237">
        <v>37.39</v>
      </c>
      <c r="G237" t="s">
        <v>3326</v>
      </c>
      <c r="I237">
        <v>199</v>
      </c>
      <c r="J237" t="s">
        <v>3452</v>
      </c>
      <c r="K237">
        <v>3</v>
      </c>
      <c r="L237">
        <v>301</v>
      </c>
      <c r="M237">
        <v>221.85</v>
      </c>
      <c r="N237" t="s">
        <v>3403</v>
      </c>
      <c r="P237">
        <v>199</v>
      </c>
      <c r="Q237" t="s">
        <v>3445</v>
      </c>
      <c r="R237" t="s">
        <v>3327</v>
      </c>
      <c r="S237">
        <v>-205</v>
      </c>
      <c r="T237">
        <v>24.96</v>
      </c>
      <c r="U237" t="s">
        <v>3327</v>
      </c>
      <c r="W237">
        <v>199</v>
      </c>
      <c r="X237" t="s">
        <v>3436</v>
      </c>
      <c r="Y237" t="s">
        <v>3326</v>
      </c>
      <c r="Z237">
        <v>-1231</v>
      </c>
      <c r="AA237">
        <v>37.39</v>
      </c>
      <c r="AB237" t="s">
        <v>3326</v>
      </c>
    </row>
    <row r="238" spans="1:28">
      <c r="A238">
        <v>200</v>
      </c>
      <c r="B238" t="s">
        <v>3436</v>
      </c>
      <c r="C238" t="s">
        <v>3326</v>
      </c>
      <c r="D238">
        <v>-1233</v>
      </c>
      <c r="F238">
        <v>37.39</v>
      </c>
      <c r="G238" t="s">
        <v>3326</v>
      </c>
      <c r="I238">
        <v>200</v>
      </c>
      <c r="J238" t="s">
        <v>3452</v>
      </c>
      <c r="K238">
        <v>3</v>
      </c>
      <c r="L238">
        <v>302</v>
      </c>
      <c r="M238">
        <v>230.9</v>
      </c>
      <c r="N238" t="s">
        <v>3403</v>
      </c>
      <c r="P238">
        <v>200</v>
      </c>
      <c r="Q238" t="s">
        <v>3445</v>
      </c>
      <c r="R238" t="s">
        <v>3327</v>
      </c>
      <c r="S238">
        <v>-206</v>
      </c>
      <c r="T238">
        <v>18.39</v>
      </c>
      <c r="U238" t="s">
        <v>3327</v>
      </c>
      <c r="W238">
        <v>200</v>
      </c>
      <c r="X238" t="s">
        <v>3436</v>
      </c>
      <c r="Y238" t="s">
        <v>3326</v>
      </c>
      <c r="Z238">
        <v>-1233</v>
      </c>
      <c r="AA238">
        <v>37.39</v>
      </c>
      <c r="AB238" t="s">
        <v>3326</v>
      </c>
    </row>
    <row r="239" spans="1:28">
      <c r="A239">
        <v>201</v>
      </c>
      <c r="B239" t="s">
        <v>3436</v>
      </c>
      <c r="C239" t="s">
        <v>3326</v>
      </c>
      <c r="D239">
        <v>-1237</v>
      </c>
      <c r="F239">
        <v>55.34</v>
      </c>
      <c r="G239" t="s">
        <v>3326</v>
      </c>
      <c r="I239">
        <v>201</v>
      </c>
      <c r="J239" t="s">
        <v>3452</v>
      </c>
      <c r="K239">
        <v>3</v>
      </c>
      <c r="L239">
        <v>402</v>
      </c>
      <c r="M239">
        <v>230.9</v>
      </c>
      <c r="N239" t="s">
        <v>3403</v>
      </c>
      <c r="P239">
        <v>201</v>
      </c>
      <c r="Q239" t="s">
        <v>3445</v>
      </c>
      <c r="R239" t="s">
        <v>3327</v>
      </c>
      <c r="S239">
        <v>-207</v>
      </c>
      <c r="T239">
        <v>18.39</v>
      </c>
      <c r="U239" t="s">
        <v>3327</v>
      </c>
      <c r="W239">
        <v>201</v>
      </c>
      <c r="X239" t="s">
        <v>3436</v>
      </c>
      <c r="Y239" t="s">
        <v>3326</v>
      </c>
      <c r="Z239">
        <v>-1237</v>
      </c>
      <c r="AA239">
        <v>55.34</v>
      </c>
      <c r="AB239" t="s">
        <v>3326</v>
      </c>
    </row>
    <row r="240" spans="1:28">
      <c r="A240">
        <v>202</v>
      </c>
      <c r="B240" t="s">
        <v>3436</v>
      </c>
      <c r="C240" t="s">
        <v>3326</v>
      </c>
      <c r="D240">
        <v>-1238</v>
      </c>
      <c r="F240">
        <v>35.9</v>
      </c>
      <c r="G240" t="s">
        <v>3326</v>
      </c>
      <c r="I240">
        <v>202</v>
      </c>
      <c r="J240" t="s">
        <v>3453</v>
      </c>
      <c r="K240">
        <v>1</v>
      </c>
      <c r="L240">
        <v>101</v>
      </c>
      <c r="M240">
        <v>217.74</v>
      </c>
      <c r="N240" t="s">
        <v>3403</v>
      </c>
      <c r="P240">
        <v>202</v>
      </c>
      <c r="Q240" t="s">
        <v>3445</v>
      </c>
      <c r="R240" t="s">
        <v>3327</v>
      </c>
      <c r="S240">
        <v>-208</v>
      </c>
      <c r="T240">
        <v>21.02</v>
      </c>
      <c r="U240" t="s">
        <v>3327</v>
      </c>
      <c r="W240">
        <v>202</v>
      </c>
      <c r="X240" t="s">
        <v>3436</v>
      </c>
      <c r="Y240" t="s">
        <v>3326</v>
      </c>
      <c r="Z240">
        <v>-1238</v>
      </c>
      <c r="AA240">
        <v>35.9</v>
      </c>
      <c r="AB240" t="s">
        <v>3326</v>
      </c>
    </row>
    <row r="241" spans="1:28">
      <c r="A241">
        <v>203</v>
      </c>
      <c r="B241" t="s">
        <v>3436</v>
      </c>
      <c r="C241" t="s">
        <v>3326</v>
      </c>
      <c r="D241">
        <v>-1239</v>
      </c>
      <c r="F241">
        <v>35.9</v>
      </c>
      <c r="G241" t="s">
        <v>3326</v>
      </c>
      <c r="I241">
        <v>203</v>
      </c>
      <c r="J241" t="s">
        <v>3453</v>
      </c>
      <c r="K241">
        <v>1</v>
      </c>
      <c r="L241">
        <v>102</v>
      </c>
      <c r="M241">
        <v>209.66</v>
      </c>
      <c r="N241" t="s">
        <v>3403</v>
      </c>
      <c r="P241">
        <v>203</v>
      </c>
      <c r="Q241" t="s">
        <v>3445</v>
      </c>
      <c r="R241" t="s">
        <v>3327</v>
      </c>
      <c r="S241">
        <v>-209</v>
      </c>
      <c r="T241">
        <v>21.02</v>
      </c>
      <c r="U241" t="s">
        <v>3327</v>
      </c>
      <c r="W241">
        <v>203</v>
      </c>
      <c r="X241" t="s">
        <v>3436</v>
      </c>
      <c r="Y241" t="s">
        <v>3326</v>
      </c>
      <c r="Z241">
        <v>-1239</v>
      </c>
      <c r="AA241">
        <v>35.9</v>
      </c>
      <c r="AB241" t="s">
        <v>3326</v>
      </c>
    </row>
    <row r="242" spans="1:28">
      <c r="A242">
        <v>204</v>
      </c>
      <c r="B242" t="s">
        <v>3436</v>
      </c>
      <c r="C242" t="s">
        <v>3326</v>
      </c>
      <c r="D242">
        <v>-1240</v>
      </c>
      <c r="F242">
        <v>37.39</v>
      </c>
      <c r="G242" t="s">
        <v>3326</v>
      </c>
      <c r="I242">
        <v>204</v>
      </c>
      <c r="J242" t="s">
        <v>3453</v>
      </c>
      <c r="K242">
        <v>1</v>
      </c>
      <c r="L242">
        <v>201</v>
      </c>
      <c r="M242">
        <v>228.69</v>
      </c>
      <c r="N242" t="s">
        <v>3403</v>
      </c>
      <c r="P242">
        <v>204</v>
      </c>
      <c r="Q242" t="s">
        <v>3445</v>
      </c>
      <c r="R242" t="s">
        <v>3327</v>
      </c>
      <c r="S242">
        <v>-210</v>
      </c>
      <c r="T242">
        <v>19.71</v>
      </c>
      <c r="U242" t="s">
        <v>3327</v>
      </c>
      <c r="W242">
        <v>204</v>
      </c>
      <c r="X242" t="s">
        <v>3436</v>
      </c>
      <c r="Y242" t="s">
        <v>3326</v>
      </c>
      <c r="Z242">
        <v>-1240</v>
      </c>
      <c r="AA242">
        <v>37.39</v>
      </c>
      <c r="AB242" t="s">
        <v>3326</v>
      </c>
    </row>
    <row r="243" spans="1:28">
      <c r="A243">
        <v>205</v>
      </c>
      <c r="B243" t="s">
        <v>3436</v>
      </c>
      <c r="C243" t="s">
        <v>3326</v>
      </c>
      <c r="D243">
        <v>-1241</v>
      </c>
      <c r="F243">
        <v>37.39</v>
      </c>
      <c r="G243" t="s">
        <v>3326</v>
      </c>
      <c r="I243">
        <v>205</v>
      </c>
      <c r="J243" t="s">
        <v>3453</v>
      </c>
      <c r="K243">
        <v>1</v>
      </c>
      <c r="L243">
        <v>301</v>
      </c>
      <c r="M243">
        <v>228.69</v>
      </c>
      <c r="N243" t="s">
        <v>3403</v>
      </c>
      <c r="P243">
        <v>205</v>
      </c>
      <c r="Q243" t="s">
        <v>3445</v>
      </c>
      <c r="R243" t="s">
        <v>3327</v>
      </c>
      <c r="S243">
        <v>-211</v>
      </c>
      <c r="T243">
        <v>17.079999999999998</v>
      </c>
      <c r="U243" t="s">
        <v>3327</v>
      </c>
      <c r="W243">
        <v>205</v>
      </c>
      <c r="X243" t="s">
        <v>3436</v>
      </c>
      <c r="Y243" t="s">
        <v>3326</v>
      </c>
      <c r="Z243">
        <v>-1241</v>
      </c>
      <c r="AA243">
        <v>37.39</v>
      </c>
      <c r="AB243" t="s">
        <v>3326</v>
      </c>
    </row>
    <row r="244" spans="1:28">
      <c r="A244">
        <v>206</v>
      </c>
      <c r="B244" t="s">
        <v>3436</v>
      </c>
      <c r="C244" t="s">
        <v>3326</v>
      </c>
      <c r="D244">
        <v>-1242</v>
      </c>
      <c r="F244">
        <v>37.39</v>
      </c>
      <c r="G244" t="s">
        <v>3326</v>
      </c>
      <c r="I244">
        <v>206</v>
      </c>
      <c r="J244" t="s">
        <v>3453</v>
      </c>
      <c r="K244">
        <v>1</v>
      </c>
      <c r="L244">
        <v>302</v>
      </c>
      <c r="M244">
        <v>220.37</v>
      </c>
      <c r="N244" t="s">
        <v>3403</v>
      </c>
      <c r="P244">
        <v>206</v>
      </c>
      <c r="Q244" t="s">
        <v>3445</v>
      </c>
      <c r="R244" t="s">
        <v>3327</v>
      </c>
      <c r="S244">
        <v>-212</v>
      </c>
      <c r="T244">
        <v>19.04</v>
      </c>
      <c r="U244" t="s">
        <v>3327</v>
      </c>
      <c r="W244">
        <v>206</v>
      </c>
      <c r="X244" t="s">
        <v>3436</v>
      </c>
      <c r="Y244" t="s">
        <v>3326</v>
      </c>
      <c r="Z244">
        <v>-1242</v>
      </c>
      <c r="AA244">
        <v>37.39</v>
      </c>
      <c r="AB244" t="s">
        <v>3326</v>
      </c>
    </row>
    <row r="245" spans="1:28">
      <c r="A245">
        <v>207</v>
      </c>
      <c r="B245" t="s">
        <v>3436</v>
      </c>
      <c r="C245" t="s">
        <v>3326</v>
      </c>
      <c r="D245">
        <v>-1243</v>
      </c>
      <c r="F245">
        <v>35.9</v>
      </c>
      <c r="G245" t="s">
        <v>3326</v>
      </c>
      <c r="I245">
        <v>207</v>
      </c>
      <c r="J245" t="s">
        <v>3453</v>
      </c>
      <c r="K245">
        <v>2</v>
      </c>
      <c r="L245">
        <v>101</v>
      </c>
      <c r="M245">
        <v>209.66</v>
      </c>
      <c r="N245" t="s">
        <v>3403</v>
      </c>
      <c r="P245">
        <v>207</v>
      </c>
      <c r="Q245" t="s">
        <v>3445</v>
      </c>
      <c r="R245" t="s">
        <v>3327</v>
      </c>
      <c r="S245">
        <v>-213</v>
      </c>
      <c r="T245">
        <v>16.489999999999998</v>
      </c>
      <c r="U245" t="s">
        <v>3327</v>
      </c>
      <c r="W245">
        <v>207</v>
      </c>
      <c r="X245" t="s">
        <v>3436</v>
      </c>
      <c r="Y245" t="s">
        <v>3326</v>
      </c>
      <c r="Z245">
        <v>-1243</v>
      </c>
      <c r="AA245">
        <v>35.9</v>
      </c>
      <c r="AB245" t="s">
        <v>3326</v>
      </c>
    </row>
    <row r="246" spans="1:28">
      <c r="A246">
        <v>208</v>
      </c>
      <c r="B246" t="s">
        <v>3436</v>
      </c>
      <c r="C246" t="s">
        <v>3326</v>
      </c>
      <c r="D246">
        <v>-1244</v>
      </c>
      <c r="F246">
        <v>35.9</v>
      </c>
      <c r="G246" t="s">
        <v>3326</v>
      </c>
      <c r="I246">
        <v>208</v>
      </c>
      <c r="J246" t="s">
        <v>3453</v>
      </c>
      <c r="K246">
        <v>2</v>
      </c>
      <c r="L246">
        <v>102</v>
      </c>
      <c r="M246">
        <v>209.66</v>
      </c>
      <c r="N246" t="s">
        <v>3403</v>
      </c>
      <c r="P246">
        <v>208</v>
      </c>
      <c r="Q246" t="s">
        <v>3446</v>
      </c>
      <c r="R246" t="s">
        <v>3327</v>
      </c>
      <c r="S246">
        <v>-101</v>
      </c>
      <c r="T246">
        <v>15.1</v>
      </c>
      <c r="U246" t="s">
        <v>3327</v>
      </c>
      <c r="W246">
        <v>208</v>
      </c>
      <c r="X246" t="s">
        <v>3436</v>
      </c>
      <c r="Y246" t="s">
        <v>3326</v>
      </c>
      <c r="Z246">
        <v>-1244</v>
      </c>
      <c r="AA246">
        <v>35.9</v>
      </c>
      <c r="AB246" t="s">
        <v>3326</v>
      </c>
    </row>
    <row r="247" spans="1:28">
      <c r="A247">
        <v>209</v>
      </c>
      <c r="B247" t="s">
        <v>3436</v>
      </c>
      <c r="C247" t="s">
        <v>3326</v>
      </c>
      <c r="D247">
        <v>-1245</v>
      </c>
      <c r="F247">
        <v>35.9</v>
      </c>
      <c r="G247" t="s">
        <v>3326</v>
      </c>
      <c r="I247">
        <v>209</v>
      </c>
      <c r="J247" t="s">
        <v>3453</v>
      </c>
      <c r="K247">
        <v>2</v>
      </c>
      <c r="L247">
        <v>201</v>
      </c>
      <c r="M247">
        <v>220.37</v>
      </c>
      <c r="N247" t="s">
        <v>3403</v>
      </c>
      <c r="P247">
        <v>209</v>
      </c>
      <c r="Q247" t="s">
        <v>3446</v>
      </c>
      <c r="R247" t="s">
        <v>3327</v>
      </c>
      <c r="S247">
        <v>-102</v>
      </c>
      <c r="T247">
        <v>42.57</v>
      </c>
      <c r="U247" t="s">
        <v>3327</v>
      </c>
      <c r="W247">
        <v>209</v>
      </c>
      <c r="X247" t="s">
        <v>3436</v>
      </c>
      <c r="Y247" t="s">
        <v>3326</v>
      </c>
      <c r="Z247">
        <v>-1245</v>
      </c>
      <c r="AA247">
        <v>35.9</v>
      </c>
      <c r="AB247" t="s">
        <v>3326</v>
      </c>
    </row>
    <row r="248" spans="1:28">
      <c r="A248">
        <v>210</v>
      </c>
      <c r="B248" t="s">
        <v>3436</v>
      </c>
      <c r="C248" t="s">
        <v>3326</v>
      </c>
      <c r="D248">
        <v>-1246</v>
      </c>
      <c r="F248">
        <v>35.9</v>
      </c>
      <c r="G248" t="s">
        <v>3326</v>
      </c>
      <c r="I248">
        <v>210</v>
      </c>
      <c r="J248" t="s">
        <v>3453</v>
      </c>
      <c r="K248">
        <v>2</v>
      </c>
      <c r="L248">
        <v>202</v>
      </c>
      <c r="M248">
        <v>220.37</v>
      </c>
      <c r="N248" t="s">
        <v>3403</v>
      </c>
      <c r="P248">
        <v>210</v>
      </c>
      <c r="Q248" t="s">
        <v>3446</v>
      </c>
      <c r="R248" t="s">
        <v>3327</v>
      </c>
      <c r="S248">
        <v>-103</v>
      </c>
      <c r="T248">
        <v>47.19</v>
      </c>
      <c r="U248" t="s">
        <v>3327</v>
      </c>
      <c r="W248">
        <v>210</v>
      </c>
      <c r="X248" t="s">
        <v>3436</v>
      </c>
      <c r="Y248" t="s">
        <v>3326</v>
      </c>
      <c r="Z248">
        <v>-1246</v>
      </c>
      <c r="AA248">
        <v>35.9</v>
      </c>
      <c r="AB248" t="s">
        <v>3326</v>
      </c>
    </row>
    <row r="249" spans="1:28">
      <c r="A249">
        <v>211</v>
      </c>
      <c r="B249" t="s">
        <v>3436</v>
      </c>
      <c r="C249" t="s">
        <v>3326</v>
      </c>
      <c r="D249">
        <v>-1247</v>
      </c>
      <c r="F249">
        <v>37.39</v>
      </c>
      <c r="G249" t="s">
        <v>3326</v>
      </c>
      <c r="I249">
        <v>211</v>
      </c>
      <c r="J249" t="s">
        <v>3453</v>
      </c>
      <c r="K249">
        <v>2</v>
      </c>
      <c r="L249">
        <v>301</v>
      </c>
      <c r="M249">
        <v>220.37</v>
      </c>
      <c r="N249" t="s">
        <v>3403</v>
      </c>
      <c r="P249">
        <v>211</v>
      </c>
      <c r="Q249" t="s">
        <v>3446</v>
      </c>
      <c r="R249" t="s">
        <v>3327</v>
      </c>
      <c r="S249">
        <v>-104</v>
      </c>
      <c r="T249">
        <v>62.37</v>
      </c>
      <c r="U249" t="s">
        <v>3327</v>
      </c>
      <c r="W249">
        <v>211</v>
      </c>
      <c r="X249" t="s">
        <v>3436</v>
      </c>
      <c r="Y249" t="s">
        <v>3326</v>
      </c>
      <c r="Z249">
        <v>-1247</v>
      </c>
      <c r="AA249">
        <v>37.39</v>
      </c>
      <c r="AB249" t="s">
        <v>3326</v>
      </c>
    </row>
    <row r="250" spans="1:28">
      <c r="A250">
        <v>212</v>
      </c>
      <c r="B250" t="s">
        <v>3436</v>
      </c>
      <c r="C250" t="s">
        <v>3326</v>
      </c>
      <c r="D250">
        <v>-1248</v>
      </c>
      <c r="F250">
        <v>37.39</v>
      </c>
      <c r="G250" t="s">
        <v>3326</v>
      </c>
      <c r="I250">
        <v>212</v>
      </c>
      <c r="J250" t="s">
        <v>3453</v>
      </c>
      <c r="K250">
        <v>2</v>
      </c>
      <c r="L250">
        <v>302</v>
      </c>
      <c r="M250">
        <v>220.37</v>
      </c>
      <c r="N250" t="s">
        <v>3403</v>
      </c>
      <c r="P250">
        <v>212</v>
      </c>
      <c r="Q250" t="s">
        <v>3446</v>
      </c>
      <c r="R250" t="s">
        <v>3327</v>
      </c>
      <c r="S250">
        <v>-105</v>
      </c>
      <c r="T250">
        <v>61.41</v>
      </c>
      <c r="U250" t="s">
        <v>3327</v>
      </c>
      <c r="W250">
        <v>212</v>
      </c>
      <c r="X250" t="s">
        <v>3436</v>
      </c>
      <c r="Y250" t="s">
        <v>3326</v>
      </c>
      <c r="Z250">
        <v>-1248</v>
      </c>
      <c r="AA250">
        <v>37.39</v>
      </c>
      <c r="AB250" t="s">
        <v>3326</v>
      </c>
    </row>
    <row r="251" spans="1:28">
      <c r="A251">
        <v>213</v>
      </c>
      <c r="B251" t="s">
        <v>3436</v>
      </c>
      <c r="C251" t="s">
        <v>3326</v>
      </c>
      <c r="D251">
        <v>-1249</v>
      </c>
      <c r="F251">
        <v>35.9</v>
      </c>
      <c r="G251" t="s">
        <v>3326</v>
      </c>
      <c r="I251">
        <v>213</v>
      </c>
      <c r="J251" t="s">
        <v>3453</v>
      </c>
      <c r="K251">
        <v>2</v>
      </c>
      <c r="L251">
        <v>402</v>
      </c>
      <c r="M251">
        <v>220.37</v>
      </c>
      <c r="N251" t="s">
        <v>3403</v>
      </c>
      <c r="P251">
        <v>213</v>
      </c>
      <c r="Q251" t="s">
        <v>3446</v>
      </c>
      <c r="R251" t="s">
        <v>3327</v>
      </c>
      <c r="S251">
        <v>-106</v>
      </c>
      <c r="T251">
        <v>61.41</v>
      </c>
      <c r="U251" t="s">
        <v>3327</v>
      </c>
      <c r="W251">
        <v>213</v>
      </c>
      <c r="X251" t="s">
        <v>3436</v>
      </c>
      <c r="Y251" t="s">
        <v>3326</v>
      </c>
      <c r="Z251">
        <v>-1249</v>
      </c>
      <c r="AA251">
        <v>35.9</v>
      </c>
      <c r="AB251" t="s">
        <v>3326</v>
      </c>
    </row>
    <row r="252" spans="1:28">
      <c r="A252">
        <v>214</v>
      </c>
      <c r="B252" t="s">
        <v>3436</v>
      </c>
      <c r="C252" t="s">
        <v>3326</v>
      </c>
      <c r="D252">
        <v>-1250</v>
      </c>
      <c r="F252">
        <v>35.9</v>
      </c>
      <c r="G252" t="s">
        <v>3326</v>
      </c>
      <c r="I252">
        <v>214</v>
      </c>
      <c r="J252" t="s">
        <v>3453</v>
      </c>
      <c r="K252">
        <v>3</v>
      </c>
      <c r="L252">
        <v>202</v>
      </c>
      <c r="M252">
        <v>228.69</v>
      </c>
      <c r="N252" t="s">
        <v>3403</v>
      </c>
      <c r="P252">
        <v>214</v>
      </c>
      <c r="Q252" t="s">
        <v>3446</v>
      </c>
      <c r="R252" t="s">
        <v>3327</v>
      </c>
      <c r="S252">
        <v>-107</v>
      </c>
      <c r="T252">
        <v>62.37</v>
      </c>
      <c r="U252" t="s">
        <v>3327</v>
      </c>
      <c r="W252">
        <v>214</v>
      </c>
      <c r="X252" t="s">
        <v>3436</v>
      </c>
      <c r="Y252" t="s">
        <v>3326</v>
      </c>
      <c r="Z252">
        <v>-1250</v>
      </c>
      <c r="AA252">
        <v>35.9</v>
      </c>
      <c r="AB252" t="s">
        <v>3326</v>
      </c>
    </row>
    <row r="253" spans="1:28">
      <c r="A253">
        <v>215</v>
      </c>
      <c r="B253" t="s">
        <v>3436</v>
      </c>
      <c r="C253" t="s">
        <v>3326</v>
      </c>
      <c r="D253">
        <v>-1251</v>
      </c>
      <c r="F253">
        <v>35.9</v>
      </c>
      <c r="G253" t="s">
        <v>3326</v>
      </c>
      <c r="I253">
        <v>215</v>
      </c>
      <c r="J253" t="s">
        <v>3453</v>
      </c>
      <c r="K253">
        <v>3</v>
      </c>
      <c r="L253">
        <v>301</v>
      </c>
      <c r="M253">
        <v>220.37</v>
      </c>
      <c r="N253" t="s">
        <v>3403</v>
      </c>
      <c r="P253">
        <v>215</v>
      </c>
      <c r="Q253" t="s">
        <v>3446</v>
      </c>
      <c r="R253" t="s">
        <v>3327</v>
      </c>
      <c r="S253">
        <v>-108</v>
      </c>
      <c r="T253">
        <v>47.19</v>
      </c>
      <c r="U253" t="s">
        <v>3327</v>
      </c>
      <c r="W253">
        <v>215</v>
      </c>
      <c r="X253" t="s">
        <v>3436</v>
      </c>
      <c r="Y253" t="s">
        <v>3326</v>
      </c>
      <c r="Z253">
        <v>-1251</v>
      </c>
      <c r="AA253">
        <v>35.9</v>
      </c>
      <c r="AB253" t="s">
        <v>3326</v>
      </c>
    </row>
    <row r="254" spans="1:28">
      <c r="A254">
        <v>216</v>
      </c>
      <c r="B254" t="s">
        <v>3436</v>
      </c>
      <c r="C254" t="s">
        <v>3326</v>
      </c>
      <c r="D254">
        <v>-1252</v>
      </c>
      <c r="F254">
        <v>35.9</v>
      </c>
      <c r="G254" t="s">
        <v>3326</v>
      </c>
      <c r="I254">
        <v>216</v>
      </c>
      <c r="J254" t="s">
        <v>3453</v>
      </c>
      <c r="K254">
        <v>3</v>
      </c>
      <c r="L254">
        <v>302</v>
      </c>
      <c r="M254">
        <v>228.69</v>
      </c>
      <c r="N254" t="s">
        <v>3403</v>
      </c>
      <c r="P254">
        <v>216</v>
      </c>
      <c r="Q254" t="s">
        <v>3446</v>
      </c>
      <c r="R254" t="s">
        <v>3327</v>
      </c>
      <c r="S254">
        <v>-109</v>
      </c>
      <c r="T254">
        <v>42.78</v>
      </c>
      <c r="U254" t="s">
        <v>3327</v>
      </c>
      <c r="W254">
        <v>216</v>
      </c>
      <c r="X254" t="s">
        <v>3436</v>
      </c>
      <c r="Y254" t="s">
        <v>3326</v>
      </c>
      <c r="Z254">
        <v>-1252</v>
      </c>
      <c r="AA254">
        <v>35.9</v>
      </c>
      <c r="AB254" t="s">
        <v>3326</v>
      </c>
    </row>
    <row r="255" spans="1:28">
      <c r="A255">
        <v>217</v>
      </c>
      <c r="B255" t="s">
        <v>3436</v>
      </c>
      <c r="C255" t="s">
        <v>3326</v>
      </c>
      <c r="D255">
        <v>-1253</v>
      </c>
      <c r="F255">
        <v>37.39</v>
      </c>
      <c r="G255" t="s">
        <v>3326</v>
      </c>
      <c r="I255">
        <v>217</v>
      </c>
      <c r="J255" t="s">
        <v>3453</v>
      </c>
      <c r="K255">
        <v>3</v>
      </c>
      <c r="L255">
        <v>401</v>
      </c>
      <c r="M255">
        <v>220.37</v>
      </c>
      <c r="N255" t="s">
        <v>3403</v>
      </c>
      <c r="P255">
        <v>217</v>
      </c>
      <c r="Q255" t="s">
        <v>3446</v>
      </c>
      <c r="R255" t="s">
        <v>3327</v>
      </c>
      <c r="S255">
        <v>-110</v>
      </c>
      <c r="T255">
        <v>42.78</v>
      </c>
      <c r="U255" t="s">
        <v>3327</v>
      </c>
      <c r="W255">
        <v>217</v>
      </c>
      <c r="X255" t="s">
        <v>3436</v>
      </c>
      <c r="Y255" t="s">
        <v>3326</v>
      </c>
      <c r="Z255">
        <v>-1253</v>
      </c>
      <c r="AA255">
        <v>37.39</v>
      </c>
      <c r="AB255" t="s">
        <v>3326</v>
      </c>
    </row>
    <row r="256" spans="1:28">
      <c r="A256">
        <v>218</v>
      </c>
      <c r="B256" t="s">
        <v>3436</v>
      </c>
      <c r="C256" t="s">
        <v>3326</v>
      </c>
      <c r="D256">
        <v>-1255</v>
      </c>
      <c r="F256">
        <v>37.39</v>
      </c>
      <c r="G256" t="s">
        <v>3326</v>
      </c>
      <c r="I256">
        <v>218</v>
      </c>
      <c r="J256" t="s">
        <v>3454</v>
      </c>
      <c r="K256">
        <v>1</v>
      </c>
      <c r="L256">
        <v>101</v>
      </c>
      <c r="M256">
        <v>217.75</v>
      </c>
      <c r="N256" t="s">
        <v>3403</v>
      </c>
      <c r="P256">
        <v>218</v>
      </c>
      <c r="Q256" t="s">
        <v>3446</v>
      </c>
      <c r="R256" t="s">
        <v>3327</v>
      </c>
      <c r="S256">
        <v>-111</v>
      </c>
      <c r="T256">
        <v>47.19</v>
      </c>
      <c r="U256" t="s">
        <v>3327</v>
      </c>
      <c r="W256">
        <v>218</v>
      </c>
      <c r="X256" t="s">
        <v>3436</v>
      </c>
      <c r="Y256" t="s">
        <v>3326</v>
      </c>
      <c r="Z256">
        <v>-1255</v>
      </c>
      <c r="AA256">
        <v>37.39</v>
      </c>
      <c r="AB256" t="s">
        <v>3326</v>
      </c>
    </row>
    <row r="257" spans="1:28">
      <c r="A257">
        <v>219</v>
      </c>
      <c r="B257" t="s">
        <v>3436</v>
      </c>
      <c r="C257" t="s">
        <v>3326</v>
      </c>
      <c r="D257">
        <v>-1256</v>
      </c>
      <c r="F257">
        <v>37.39</v>
      </c>
      <c r="G257" t="s">
        <v>3326</v>
      </c>
      <c r="I257">
        <v>219</v>
      </c>
      <c r="J257" t="s">
        <v>3454</v>
      </c>
      <c r="K257">
        <v>1</v>
      </c>
      <c r="L257">
        <v>102</v>
      </c>
      <c r="M257">
        <v>209.67</v>
      </c>
      <c r="N257" t="s">
        <v>3403</v>
      </c>
      <c r="P257">
        <v>219</v>
      </c>
      <c r="Q257" t="s">
        <v>3446</v>
      </c>
      <c r="R257" t="s">
        <v>3327</v>
      </c>
      <c r="S257">
        <v>-112</v>
      </c>
      <c r="T257">
        <v>62.37</v>
      </c>
      <c r="U257" t="s">
        <v>3327</v>
      </c>
      <c r="W257">
        <v>219</v>
      </c>
      <c r="X257" t="s">
        <v>3436</v>
      </c>
      <c r="Y257" t="s">
        <v>3326</v>
      </c>
      <c r="Z257">
        <v>-1256</v>
      </c>
      <c r="AA257">
        <v>37.39</v>
      </c>
      <c r="AB257" t="s">
        <v>3326</v>
      </c>
    </row>
    <row r="258" spans="1:28">
      <c r="A258">
        <v>220</v>
      </c>
      <c r="B258" t="s">
        <v>3436</v>
      </c>
      <c r="C258" t="s">
        <v>3326</v>
      </c>
      <c r="D258">
        <v>-1257</v>
      </c>
      <c r="F258">
        <v>37.39</v>
      </c>
      <c r="G258" t="s">
        <v>3326</v>
      </c>
      <c r="I258">
        <v>220</v>
      </c>
      <c r="J258" t="s">
        <v>3454</v>
      </c>
      <c r="K258">
        <v>1</v>
      </c>
      <c r="L258">
        <v>201</v>
      </c>
      <c r="M258">
        <v>228.69</v>
      </c>
      <c r="N258" t="s">
        <v>3403</v>
      </c>
      <c r="P258">
        <v>220</v>
      </c>
      <c r="Q258" t="s">
        <v>3446</v>
      </c>
      <c r="R258" t="s">
        <v>3327</v>
      </c>
      <c r="S258">
        <v>-113</v>
      </c>
      <c r="T258">
        <v>61.41</v>
      </c>
      <c r="U258" t="s">
        <v>3327</v>
      </c>
      <c r="W258">
        <v>220</v>
      </c>
      <c r="X258" t="s">
        <v>3436</v>
      </c>
      <c r="Y258" t="s">
        <v>3326</v>
      </c>
      <c r="Z258">
        <v>-1257</v>
      </c>
      <c r="AA258">
        <v>37.39</v>
      </c>
      <c r="AB258" t="s">
        <v>3326</v>
      </c>
    </row>
    <row r="259" spans="1:28">
      <c r="A259">
        <v>221</v>
      </c>
      <c r="B259" t="s">
        <v>3436</v>
      </c>
      <c r="C259" t="s">
        <v>3326</v>
      </c>
      <c r="D259">
        <v>-1258</v>
      </c>
      <c r="F259">
        <v>37.39</v>
      </c>
      <c r="G259" t="s">
        <v>3326</v>
      </c>
      <c r="I259">
        <v>221</v>
      </c>
      <c r="J259" t="s">
        <v>3454</v>
      </c>
      <c r="K259">
        <v>1</v>
      </c>
      <c r="L259">
        <v>202</v>
      </c>
      <c r="M259">
        <v>220.38</v>
      </c>
      <c r="N259" t="s">
        <v>3403</v>
      </c>
      <c r="P259">
        <v>221</v>
      </c>
      <c r="Q259" t="s">
        <v>3446</v>
      </c>
      <c r="R259" t="s">
        <v>3327</v>
      </c>
      <c r="S259">
        <v>-114</v>
      </c>
      <c r="T259">
        <v>61.41</v>
      </c>
      <c r="U259" t="s">
        <v>3327</v>
      </c>
      <c r="W259">
        <v>221</v>
      </c>
      <c r="X259" t="s">
        <v>3436</v>
      </c>
      <c r="Y259" t="s">
        <v>3326</v>
      </c>
      <c r="Z259">
        <v>-1258</v>
      </c>
      <c r="AA259">
        <v>37.39</v>
      </c>
      <c r="AB259" t="s">
        <v>3326</v>
      </c>
    </row>
    <row r="260" spans="1:28">
      <c r="A260">
        <v>222</v>
      </c>
      <c r="B260" t="s">
        <v>3436</v>
      </c>
      <c r="C260" t="s">
        <v>3326</v>
      </c>
      <c r="D260">
        <v>-1259</v>
      </c>
      <c r="F260">
        <v>37.39</v>
      </c>
      <c r="G260" t="s">
        <v>3326</v>
      </c>
      <c r="I260">
        <v>222</v>
      </c>
      <c r="J260" t="s">
        <v>3454</v>
      </c>
      <c r="K260">
        <v>1</v>
      </c>
      <c r="L260">
        <v>302</v>
      </c>
      <c r="M260">
        <v>220.38</v>
      </c>
      <c r="N260" t="s">
        <v>3403</v>
      </c>
      <c r="P260">
        <v>222</v>
      </c>
      <c r="Q260" t="s">
        <v>3446</v>
      </c>
      <c r="R260" t="s">
        <v>3327</v>
      </c>
      <c r="S260">
        <v>-115</v>
      </c>
      <c r="T260">
        <v>62.37</v>
      </c>
      <c r="U260" t="s">
        <v>3327</v>
      </c>
      <c r="W260">
        <v>222</v>
      </c>
      <c r="X260" t="s">
        <v>3436</v>
      </c>
      <c r="Y260" t="s">
        <v>3326</v>
      </c>
      <c r="Z260">
        <v>-1259</v>
      </c>
      <c r="AA260">
        <v>37.39</v>
      </c>
      <c r="AB260" t="s">
        <v>3326</v>
      </c>
    </row>
    <row r="261" spans="1:28">
      <c r="A261">
        <v>223</v>
      </c>
      <c r="B261" t="s">
        <v>3436</v>
      </c>
      <c r="C261" t="s">
        <v>3326</v>
      </c>
      <c r="D261">
        <v>-1260</v>
      </c>
      <c r="F261">
        <v>37.39</v>
      </c>
      <c r="G261" t="s">
        <v>3326</v>
      </c>
      <c r="I261">
        <v>223</v>
      </c>
      <c r="J261" t="s">
        <v>3454</v>
      </c>
      <c r="K261">
        <v>2</v>
      </c>
      <c r="L261">
        <v>101</v>
      </c>
      <c r="M261">
        <v>209.67</v>
      </c>
      <c r="N261" t="s">
        <v>3403</v>
      </c>
      <c r="P261">
        <v>223</v>
      </c>
      <c r="Q261" t="s">
        <v>3446</v>
      </c>
      <c r="R261" t="s">
        <v>3327</v>
      </c>
      <c r="S261">
        <v>-116</v>
      </c>
      <c r="T261">
        <v>47.19</v>
      </c>
      <c r="U261" t="s">
        <v>3327</v>
      </c>
      <c r="W261">
        <v>223</v>
      </c>
      <c r="X261" t="s">
        <v>3436</v>
      </c>
      <c r="Y261" t="s">
        <v>3326</v>
      </c>
      <c r="Z261">
        <v>-1260</v>
      </c>
      <c r="AA261">
        <v>37.39</v>
      </c>
      <c r="AB261" t="s">
        <v>3326</v>
      </c>
    </row>
    <row r="262" spans="1:28">
      <c r="A262">
        <v>224</v>
      </c>
      <c r="B262" t="s">
        <v>3436</v>
      </c>
      <c r="C262" t="s">
        <v>3326</v>
      </c>
      <c r="D262">
        <v>-1264</v>
      </c>
      <c r="F262">
        <v>37.39</v>
      </c>
      <c r="G262" t="s">
        <v>3326</v>
      </c>
      <c r="I262">
        <v>224</v>
      </c>
      <c r="J262" t="s">
        <v>3454</v>
      </c>
      <c r="K262">
        <v>2</v>
      </c>
      <c r="L262">
        <v>102</v>
      </c>
      <c r="M262">
        <v>209.67</v>
      </c>
      <c r="N262" t="s">
        <v>3403</v>
      </c>
      <c r="P262">
        <v>224</v>
      </c>
      <c r="Q262" t="s">
        <v>3446</v>
      </c>
      <c r="R262" t="s">
        <v>3327</v>
      </c>
      <c r="S262">
        <v>-117</v>
      </c>
      <c r="T262">
        <v>54.45</v>
      </c>
      <c r="U262" t="s">
        <v>3327</v>
      </c>
      <c r="W262">
        <v>224</v>
      </c>
      <c r="X262" t="s">
        <v>3436</v>
      </c>
      <c r="Y262" t="s">
        <v>3326</v>
      </c>
      <c r="Z262">
        <v>-1264</v>
      </c>
      <c r="AA262">
        <v>37.39</v>
      </c>
      <c r="AB262" t="s">
        <v>3326</v>
      </c>
    </row>
    <row r="263" spans="1:28">
      <c r="A263">
        <v>225</v>
      </c>
      <c r="B263" t="s">
        <v>3436</v>
      </c>
      <c r="C263" t="s">
        <v>3326</v>
      </c>
      <c r="D263">
        <v>-1265</v>
      </c>
      <c r="F263">
        <v>37.39</v>
      </c>
      <c r="G263" t="s">
        <v>3326</v>
      </c>
      <c r="I263">
        <v>225</v>
      </c>
      <c r="J263" t="s">
        <v>3454</v>
      </c>
      <c r="K263">
        <v>2</v>
      </c>
      <c r="L263">
        <v>201</v>
      </c>
      <c r="M263">
        <v>220.38</v>
      </c>
      <c r="N263" t="s">
        <v>3403</v>
      </c>
      <c r="P263">
        <v>225</v>
      </c>
      <c r="Q263" t="s">
        <v>3446</v>
      </c>
      <c r="R263" t="s">
        <v>3327</v>
      </c>
      <c r="S263">
        <v>-118</v>
      </c>
      <c r="T263">
        <v>15.15</v>
      </c>
      <c r="U263" t="s">
        <v>3327</v>
      </c>
      <c r="W263">
        <v>225</v>
      </c>
      <c r="X263" t="s">
        <v>3436</v>
      </c>
      <c r="Y263" t="s">
        <v>3326</v>
      </c>
      <c r="Z263">
        <v>-1265</v>
      </c>
      <c r="AA263">
        <v>37.39</v>
      </c>
      <c r="AB263" t="s">
        <v>3326</v>
      </c>
    </row>
    <row r="264" spans="1:28">
      <c r="A264">
        <v>226</v>
      </c>
      <c r="B264" t="s">
        <v>3436</v>
      </c>
      <c r="C264" t="s">
        <v>3326</v>
      </c>
      <c r="D264">
        <v>-1266</v>
      </c>
      <c r="F264">
        <v>37.39</v>
      </c>
      <c r="G264" t="s">
        <v>3326</v>
      </c>
      <c r="I264">
        <v>226</v>
      </c>
      <c r="J264" t="s">
        <v>3454</v>
      </c>
      <c r="K264">
        <v>2</v>
      </c>
      <c r="L264">
        <v>202</v>
      </c>
      <c r="M264">
        <v>220.38</v>
      </c>
      <c r="N264" t="s">
        <v>3403</v>
      </c>
      <c r="P264">
        <v>226</v>
      </c>
      <c r="Q264" t="s">
        <v>3446</v>
      </c>
      <c r="R264" t="s">
        <v>3327</v>
      </c>
      <c r="S264">
        <v>-119</v>
      </c>
      <c r="T264">
        <v>14.91</v>
      </c>
      <c r="U264" t="s">
        <v>3327</v>
      </c>
      <c r="W264">
        <v>226</v>
      </c>
      <c r="X264" t="s">
        <v>3436</v>
      </c>
      <c r="Y264" t="s">
        <v>3326</v>
      </c>
      <c r="Z264">
        <v>-1266</v>
      </c>
      <c r="AA264">
        <v>37.39</v>
      </c>
      <c r="AB264" t="s">
        <v>3326</v>
      </c>
    </row>
    <row r="265" spans="1:28">
      <c r="A265">
        <v>227</v>
      </c>
      <c r="B265" t="s">
        <v>3436</v>
      </c>
      <c r="C265" t="s">
        <v>3326</v>
      </c>
      <c r="D265">
        <v>-1267</v>
      </c>
      <c r="F265">
        <v>37.39</v>
      </c>
      <c r="G265" t="s">
        <v>3326</v>
      </c>
      <c r="I265">
        <v>227</v>
      </c>
      <c r="J265" t="s">
        <v>3454</v>
      </c>
      <c r="K265">
        <v>2</v>
      </c>
      <c r="L265">
        <v>301</v>
      </c>
      <c r="M265">
        <v>220.38</v>
      </c>
      <c r="N265" t="s">
        <v>3403</v>
      </c>
      <c r="P265">
        <v>227</v>
      </c>
      <c r="Q265" t="s">
        <v>3446</v>
      </c>
      <c r="R265" t="s">
        <v>3327</v>
      </c>
      <c r="S265">
        <v>-120</v>
      </c>
      <c r="T265">
        <v>14.91</v>
      </c>
      <c r="U265" t="s">
        <v>3327</v>
      </c>
      <c r="W265">
        <v>227</v>
      </c>
      <c r="X265" t="s">
        <v>3436</v>
      </c>
      <c r="Y265" t="s">
        <v>3326</v>
      </c>
      <c r="Z265">
        <v>-1267</v>
      </c>
      <c r="AA265">
        <v>37.39</v>
      </c>
      <c r="AB265" t="s">
        <v>3326</v>
      </c>
    </row>
    <row r="266" spans="1:28">
      <c r="A266">
        <v>228</v>
      </c>
      <c r="B266" t="s">
        <v>3436</v>
      </c>
      <c r="C266" t="s">
        <v>3326</v>
      </c>
      <c r="D266">
        <v>-1269</v>
      </c>
      <c r="F266">
        <v>37.39</v>
      </c>
      <c r="G266" t="s">
        <v>3326</v>
      </c>
      <c r="I266">
        <v>228</v>
      </c>
      <c r="J266" t="s">
        <v>3454</v>
      </c>
      <c r="K266">
        <v>2</v>
      </c>
      <c r="L266">
        <v>302</v>
      </c>
      <c r="M266">
        <v>220.38</v>
      </c>
      <c r="N266" t="s">
        <v>3403</v>
      </c>
      <c r="P266">
        <v>228</v>
      </c>
      <c r="Q266" t="s">
        <v>3446</v>
      </c>
      <c r="R266" t="s">
        <v>3327</v>
      </c>
      <c r="S266">
        <v>-201</v>
      </c>
      <c r="T266">
        <v>22.9</v>
      </c>
      <c r="U266" t="s">
        <v>3327</v>
      </c>
      <c r="W266">
        <v>228</v>
      </c>
      <c r="X266" t="s">
        <v>3436</v>
      </c>
      <c r="Y266" t="s">
        <v>3326</v>
      </c>
      <c r="Z266">
        <v>-1269</v>
      </c>
      <c r="AA266">
        <v>37.39</v>
      </c>
      <c r="AB266" t="s">
        <v>3326</v>
      </c>
    </row>
    <row r="267" spans="1:28">
      <c r="A267">
        <v>229</v>
      </c>
      <c r="B267" t="s">
        <v>3436</v>
      </c>
      <c r="C267" t="s">
        <v>3326</v>
      </c>
      <c r="D267">
        <v>-1270</v>
      </c>
      <c r="F267">
        <v>37.39</v>
      </c>
      <c r="G267" t="s">
        <v>3326</v>
      </c>
      <c r="I267">
        <v>229</v>
      </c>
      <c r="J267" t="s">
        <v>3454</v>
      </c>
      <c r="K267">
        <v>2</v>
      </c>
      <c r="L267">
        <v>401</v>
      </c>
      <c r="M267">
        <v>220.38</v>
      </c>
      <c r="N267" t="s">
        <v>3403</v>
      </c>
      <c r="P267">
        <v>229</v>
      </c>
      <c r="Q267" t="s">
        <v>3446</v>
      </c>
      <c r="R267" t="s">
        <v>3327</v>
      </c>
      <c r="S267">
        <v>-202</v>
      </c>
      <c r="T267">
        <v>22.9</v>
      </c>
      <c r="U267" t="s">
        <v>3327</v>
      </c>
      <c r="W267">
        <v>229</v>
      </c>
      <c r="X267" t="s">
        <v>3436</v>
      </c>
      <c r="Y267" t="s">
        <v>3326</v>
      </c>
      <c r="Z267">
        <v>-1270</v>
      </c>
      <c r="AA267">
        <v>37.39</v>
      </c>
      <c r="AB267" t="s">
        <v>3326</v>
      </c>
    </row>
    <row r="268" spans="1:28">
      <c r="A268">
        <v>230</v>
      </c>
      <c r="B268" t="s">
        <v>3436</v>
      </c>
      <c r="C268" t="s">
        <v>3326</v>
      </c>
      <c r="D268">
        <v>-1271</v>
      </c>
      <c r="F268">
        <v>37.39</v>
      </c>
      <c r="G268" t="s">
        <v>3326</v>
      </c>
      <c r="I268">
        <v>230</v>
      </c>
      <c r="J268" t="s">
        <v>3454</v>
      </c>
      <c r="K268">
        <v>2</v>
      </c>
      <c r="L268">
        <v>402</v>
      </c>
      <c r="M268">
        <v>220.38</v>
      </c>
      <c r="N268" t="s">
        <v>3403</v>
      </c>
      <c r="P268">
        <v>230</v>
      </c>
      <c r="Q268" t="s">
        <v>3446</v>
      </c>
      <c r="R268" t="s">
        <v>3327</v>
      </c>
      <c r="S268">
        <v>-203</v>
      </c>
      <c r="T268">
        <v>22.9</v>
      </c>
      <c r="U268" t="s">
        <v>3327</v>
      </c>
      <c r="W268">
        <v>230</v>
      </c>
      <c r="X268" t="s">
        <v>3436</v>
      </c>
      <c r="Y268" t="s">
        <v>3326</v>
      </c>
      <c r="Z268">
        <v>-1271</v>
      </c>
      <c r="AA268">
        <v>37.39</v>
      </c>
      <c r="AB268" t="s">
        <v>3326</v>
      </c>
    </row>
    <row r="269" spans="1:28">
      <c r="A269">
        <v>231</v>
      </c>
      <c r="B269" t="s">
        <v>3436</v>
      </c>
      <c r="C269" t="s">
        <v>3326</v>
      </c>
      <c r="D269">
        <v>-1272</v>
      </c>
      <c r="F269">
        <v>37.39</v>
      </c>
      <c r="G269" t="s">
        <v>3326</v>
      </c>
      <c r="I269">
        <v>231</v>
      </c>
      <c r="J269" t="s">
        <v>3454</v>
      </c>
      <c r="K269">
        <v>3</v>
      </c>
      <c r="L269">
        <v>101</v>
      </c>
      <c r="M269">
        <v>209.67</v>
      </c>
      <c r="N269" t="s">
        <v>3403</v>
      </c>
      <c r="P269">
        <v>231</v>
      </c>
      <c r="Q269" t="s">
        <v>3446</v>
      </c>
      <c r="R269" t="s">
        <v>3327</v>
      </c>
      <c r="S269">
        <v>-204</v>
      </c>
      <c r="T269">
        <v>22.9</v>
      </c>
      <c r="U269" t="s">
        <v>3327</v>
      </c>
      <c r="W269">
        <v>231</v>
      </c>
      <c r="X269" t="s">
        <v>3436</v>
      </c>
      <c r="Y269" t="s">
        <v>3326</v>
      </c>
      <c r="Z269">
        <v>-1272</v>
      </c>
      <c r="AA269">
        <v>37.39</v>
      </c>
      <c r="AB269" t="s">
        <v>3326</v>
      </c>
    </row>
    <row r="270" spans="1:28">
      <c r="A270">
        <v>232</v>
      </c>
      <c r="B270" t="s">
        <v>3436</v>
      </c>
      <c r="C270" t="s">
        <v>3326</v>
      </c>
      <c r="D270">
        <v>-1273</v>
      </c>
      <c r="F270">
        <v>37.39</v>
      </c>
      <c r="G270" t="s">
        <v>3326</v>
      </c>
      <c r="I270">
        <v>232</v>
      </c>
      <c r="J270" t="s">
        <v>3454</v>
      </c>
      <c r="K270">
        <v>3</v>
      </c>
      <c r="L270">
        <v>102</v>
      </c>
      <c r="M270">
        <v>217.75</v>
      </c>
      <c r="N270" t="s">
        <v>3403</v>
      </c>
      <c r="P270">
        <v>232</v>
      </c>
      <c r="Q270" t="s">
        <v>3447</v>
      </c>
      <c r="R270" t="s">
        <v>3327</v>
      </c>
      <c r="S270">
        <v>-106</v>
      </c>
      <c r="T270">
        <v>34.520000000000003</v>
      </c>
      <c r="U270" t="s">
        <v>3327</v>
      </c>
      <c r="W270">
        <v>232</v>
      </c>
      <c r="X270" t="s">
        <v>3436</v>
      </c>
      <c r="Y270" t="s">
        <v>3326</v>
      </c>
      <c r="Z270">
        <v>-1273</v>
      </c>
      <c r="AA270">
        <v>37.39</v>
      </c>
      <c r="AB270" t="s">
        <v>3326</v>
      </c>
    </row>
    <row r="271" spans="1:28">
      <c r="A271">
        <v>233</v>
      </c>
      <c r="B271" t="s">
        <v>3436</v>
      </c>
      <c r="C271" t="s">
        <v>3326</v>
      </c>
      <c r="D271">
        <v>-1274</v>
      </c>
      <c r="F271">
        <v>37.39</v>
      </c>
      <c r="G271" t="s">
        <v>3326</v>
      </c>
      <c r="I271">
        <v>233</v>
      </c>
      <c r="J271" t="s">
        <v>3454</v>
      </c>
      <c r="K271">
        <v>3</v>
      </c>
      <c r="L271">
        <v>201</v>
      </c>
      <c r="M271">
        <v>220.38</v>
      </c>
      <c r="N271" t="s">
        <v>3403</v>
      </c>
      <c r="P271">
        <v>233</v>
      </c>
      <c r="Q271" t="s">
        <v>3447</v>
      </c>
      <c r="R271" t="s">
        <v>3327</v>
      </c>
      <c r="S271">
        <v>-107</v>
      </c>
      <c r="T271">
        <v>63.28</v>
      </c>
      <c r="U271" t="s">
        <v>3327</v>
      </c>
      <c r="W271">
        <v>233</v>
      </c>
      <c r="X271" t="s">
        <v>3436</v>
      </c>
      <c r="Y271" t="s">
        <v>3326</v>
      </c>
      <c r="Z271">
        <v>-1274</v>
      </c>
      <c r="AA271">
        <v>37.39</v>
      </c>
      <c r="AB271" t="s">
        <v>3326</v>
      </c>
    </row>
    <row r="272" spans="1:28">
      <c r="A272">
        <v>234</v>
      </c>
      <c r="B272" t="s">
        <v>3436</v>
      </c>
      <c r="C272" t="s">
        <v>3326</v>
      </c>
      <c r="D272">
        <v>-1277</v>
      </c>
      <c r="F272">
        <v>37.39</v>
      </c>
      <c r="G272" t="s">
        <v>3326</v>
      </c>
      <c r="I272">
        <v>234</v>
      </c>
      <c r="J272" t="s">
        <v>3454</v>
      </c>
      <c r="K272">
        <v>3</v>
      </c>
      <c r="L272">
        <v>202</v>
      </c>
      <c r="M272">
        <v>228.69</v>
      </c>
      <c r="N272" t="s">
        <v>3403</v>
      </c>
      <c r="P272">
        <v>234</v>
      </c>
      <c r="Q272" t="s">
        <v>3447</v>
      </c>
      <c r="R272" t="s">
        <v>3327</v>
      </c>
      <c r="S272">
        <v>-108</v>
      </c>
      <c r="T272">
        <v>47.64</v>
      </c>
      <c r="U272" t="s">
        <v>3327</v>
      </c>
      <c r="W272">
        <v>234</v>
      </c>
      <c r="X272" t="s">
        <v>3436</v>
      </c>
      <c r="Y272" t="s">
        <v>3326</v>
      </c>
      <c r="Z272">
        <v>-1277</v>
      </c>
      <c r="AA272">
        <v>37.39</v>
      </c>
      <c r="AB272" t="s">
        <v>3326</v>
      </c>
    </row>
    <row r="273" spans="1:28">
      <c r="A273">
        <v>235</v>
      </c>
      <c r="B273" t="s">
        <v>3436</v>
      </c>
      <c r="C273" t="s">
        <v>3326</v>
      </c>
      <c r="D273">
        <v>-1278</v>
      </c>
      <c r="F273">
        <v>37.39</v>
      </c>
      <c r="G273" t="s">
        <v>3326</v>
      </c>
      <c r="I273">
        <v>235</v>
      </c>
      <c r="J273" t="s">
        <v>3454</v>
      </c>
      <c r="K273">
        <v>3</v>
      </c>
      <c r="L273">
        <v>301</v>
      </c>
      <c r="M273">
        <v>220.38</v>
      </c>
      <c r="N273" t="s">
        <v>3403</v>
      </c>
      <c r="P273">
        <v>235</v>
      </c>
      <c r="Q273" t="s">
        <v>3447</v>
      </c>
      <c r="R273" t="s">
        <v>3327</v>
      </c>
      <c r="S273">
        <v>-109</v>
      </c>
      <c r="T273">
        <v>47.64</v>
      </c>
      <c r="U273" t="s">
        <v>3327</v>
      </c>
      <c r="W273">
        <v>235</v>
      </c>
      <c r="X273" t="s">
        <v>3436</v>
      </c>
      <c r="Y273" t="s">
        <v>3326</v>
      </c>
      <c r="Z273">
        <v>-1278</v>
      </c>
      <c r="AA273">
        <v>37.39</v>
      </c>
      <c r="AB273" t="s">
        <v>3326</v>
      </c>
    </row>
    <row r="274" spans="1:28">
      <c r="A274">
        <v>236</v>
      </c>
      <c r="B274" t="s">
        <v>3436</v>
      </c>
      <c r="C274" t="s">
        <v>3326</v>
      </c>
      <c r="D274">
        <v>-1279</v>
      </c>
      <c r="F274">
        <v>37.39</v>
      </c>
      <c r="G274" t="s">
        <v>3326</v>
      </c>
      <c r="I274">
        <v>236</v>
      </c>
      <c r="J274" t="s">
        <v>3454</v>
      </c>
      <c r="K274">
        <v>3</v>
      </c>
      <c r="L274">
        <v>302</v>
      </c>
      <c r="M274">
        <v>228.69</v>
      </c>
      <c r="N274" t="s">
        <v>3403</v>
      </c>
      <c r="P274">
        <v>236</v>
      </c>
      <c r="Q274" t="s">
        <v>3447</v>
      </c>
      <c r="R274" t="s">
        <v>3327</v>
      </c>
      <c r="S274">
        <v>-110</v>
      </c>
      <c r="T274">
        <v>63.28</v>
      </c>
      <c r="U274" t="s">
        <v>3327</v>
      </c>
      <c r="W274">
        <v>236</v>
      </c>
      <c r="X274" t="s">
        <v>3436</v>
      </c>
      <c r="Y274" t="s">
        <v>3326</v>
      </c>
      <c r="Z274">
        <v>-1279</v>
      </c>
      <c r="AA274">
        <v>37.39</v>
      </c>
      <c r="AB274" t="s">
        <v>3326</v>
      </c>
    </row>
    <row r="275" spans="1:28">
      <c r="A275">
        <v>237</v>
      </c>
      <c r="B275" t="s">
        <v>3436</v>
      </c>
      <c r="C275" t="s">
        <v>3326</v>
      </c>
      <c r="D275">
        <v>-1280</v>
      </c>
      <c r="F275">
        <v>37.39</v>
      </c>
      <c r="G275" t="s">
        <v>3326</v>
      </c>
      <c r="I275">
        <v>237</v>
      </c>
      <c r="J275" t="s">
        <v>3454</v>
      </c>
      <c r="K275">
        <v>3</v>
      </c>
      <c r="L275">
        <v>401</v>
      </c>
      <c r="M275">
        <v>220.38</v>
      </c>
      <c r="N275" t="s">
        <v>3403</v>
      </c>
      <c r="P275">
        <v>237</v>
      </c>
      <c r="Q275" t="s">
        <v>3447</v>
      </c>
      <c r="R275" t="s">
        <v>3327</v>
      </c>
      <c r="S275">
        <v>-111</v>
      </c>
      <c r="T275">
        <v>34.520000000000003</v>
      </c>
      <c r="U275" t="s">
        <v>3327</v>
      </c>
      <c r="W275">
        <v>237</v>
      </c>
      <c r="X275" t="s">
        <v>3436</v>
      </c>
      <c r="Y275" t="s">
        <v>3326</v>
      </c>
      <c r="Z275">
        <v>-1280</v>
      </c>
      <c r="AA275">
        <v>37.39</v>
      </c>
      <c r="AB275" t="s">
        <v>3326</v>
      </c>
    </row>
    <row r="276" spans="1:28">
      <c r="A276">
        <v>238</v>
      </c>
      <c r="B276" t="s">
        <v>3436</v>
      </c>
      <c r="C276" t="s">
        <v>3326</v>
      </c>
      <c r="D276">
        <v>-1281</v>
      </c>
      <c r="F276">
        <v>37.39</v>
      </c>
      <c r="G276" t="s">
        <v>3326</v>
      </c>
      <c r="I276">
        <v>238</v>
      </c>
      <c r="J276" t="s">
        <v>3454</v>
      </c>
      <c r="K276">
        <v>3</v>
      </c>
      <c r="L276">
        <v>402</v>
      </c>
      <c r="M276">
        <v>228.69</v>
      </c>
      <c r="N276" t="s">
        <v>3403</v>
      </c>
      <c r="P276">
        <v>238</v>
      </c>
      <c r="Q276" t="s">
        <v>3447</v>
      </c>
      <c r="R276" t="s">
        <v>3327</v>
      </c>
      <c r="S276">
        <v>-112</v>
      </c>
      <c r="T276">
        <v>34.520000000000003</v>
      </c>
      <c r="U276" t="s">
        <v>3327</v>
      </c>
      <c r="W276">
        <v>238</v>
      </c>
      <c r="X276" t="s">
        <v>3436</v>
      </c>
      <c r="Y276" t="s">
        <v>3326</v>
      </c>
      <c r="Z276">
        <v>-1281</v>
      </c>
      <c r="AA276">
        <v>37.39</v>
      </c>
      <c r="AB276" t="s">
        <v>3326</v>
      </c>
    </row>
    <row r="277" spans="1:28">
      <c r="A277">
        <v>239</v>
      </c>
      <c r="B277" t="s">
        <v>3436</v>
      </c>
      <c r="C277" t="s">
        <v>3326</v>
      </c>
      <c r="D277">
        <v>-1283</v>
      </c>
      <c r="F277">
        <v>37.39</v>
      </c>
      <c r="G277" t="s">
        <v>3326</v>
      </c>
      <c r="I277">
        <v>239</v>
      </c>
      <c r="J277" t="s">
        <v>3455</v>
      </c>
      <c r="K277">
        <v>1</v>
      </c>
      <c r="L277">
        <v>102</v>
      </c>
      <c r="M277">
        <v>168.11</v>
      </c>
      <c r="N277" t="s">
        <v>3403</v>
      </c>
      <c r="P277">
        <v>239</v>
      </c>
      <c r="Q277" t="s">
        <v>3447</v>
      </c>
      <c r="R277" t="s">
        <v>3327</v>
      </c>
      <c r="S277">
        <v>-113</v>
      </c>
      <c r="T277">
        <v>63.57</v>
      </c>
      <c r="U277" t="s">
        <v>3327</v>
      </c>
      <c r="W277">
        <v>239</v>
      </c>
      <c r="X277" t="s">
        <v>3436</v>
      </c>
      <c r="Y277" t="s">
        <v>3326</v>
      </c>
      <c r="Z277">
        <v>-1283</v>
      </c>
      <c r="AA277">
        <v>37.39</v>
      </c>
      <c r="AB277" t="s">
        <v>3326</v>
      </c>
    </row>
    <row r="278" spans="1:28">
      <c r="A278">
        <v>240</v>
      </c>
      <c r="B278" t="s">
        <v>3436</v>
      </c>
      <c r="C278" t="s">
        <v>3326</v>
      </c>
      <c r="D278">
        <v>-1284</v>
      </c>
      <c r="F278">
        <v>37.39</v>
      </c>
      <c r="G278" t="s">
        <v>3326</v>
      </c>
      <c r="I278">
        <v>240</v>
      </c>
      <c r="J278" t="s">
        <v>3455</v>
      </c>
      <c r="K278">
        <v>1</v>
      </c>
      <c r="L278">
        <v>201</v>
      </c>
      <c r="M278">
        <v>192.59</v>
      </c>
      <c r="N278" t="s">
        <v>3403</v>
      </c>
      <c r="P278">
        <v>240</v>
      </c>
      <c r="Q278" t="s">
        <v>3447</v>
      </c>
      <c r="R278" t="s">
        <v>3327</v>
      </c>
      <c r="S278">
        <v>-114</v>
      </c>
      <c r="T278">
        <v>57.85</v>
      </c>
      <c r="U278" t="s">
        <v>3327</v>
      </c>
      <c r="W278">
        <v>240</v>
      </c>
      <c r="X278" t="s">
        <v>3436</v>
      </c>
      <c r="Y278" t="s">
        <v>3326</v>
      </c>
      <c r="Z278">
        <v>-1284</v>
      </c>
      <c r="AA278">
        <v>37.39</v>
      </c>
      <c r="AB278" t="s">
        <v>3326</v>
      </c>
    </row>
    <row r="279" spans="1:28">
      <c r="A279">
        <v>241</v>
      </c>
      <c r="B279" t="s">
        <v>3436</v>
      </c>
      <c r="C279" t="s">
        <v>3326</v>
      </c>
      <c r="D279">
        <v>-1286</v>
      </c>
      <c r="F279">
        <v>37.39</v>
      </c>
      <c r="G279" t="s">
        <v>3326</v>
      </c>
      <c r="I279">
        <v>241</v>
      </c>
      <c r="J279" t="s">
        <v>3455</v>
      </c>
      <c r="K279">
        <v>1</v>
      </c>
      <c r="L279">
        <v>301</v>
      </c>
      <c r="M279">
        <v>192.59</v>
      </c>
      <c r="N279" t="s">
        <v>3403</v>
      </c>
      <c r="P279">
        <v>241</v>
      </c>
      <c r="Q279" t="s">
        <v>3447</v>
      </c>
      <c r="R279" t="s">
        <v>3327</v>
      </c>
      <c r="S279">
        <v>-115</v>
      </c>
      <c r="T279">
        <v>30.97</v>
      </c>
      <c r="U279" t="s">
        <v>3327</v>
      </c>
      <c r="W279">
        <v>241</v>
      </c>
      <c r="X279" t="s">
        <v>3436</v>
      </c>
      <c r="Y279" t="s">
        <v>3326</v>
      </c>
      <c r="Z279">
        <v>-1286</v>
      </c>
      <c r="AA279">
        <v>37.39</v>
      </c>
      <c r="AB279" t="s">
        <v>3326</v>
      </c>
    </row>
    <row r="280" spans="1:28">
      <c r="A280">
        <v>242</v>
      </c>
      <c r="B280" t="s">
        <v>3436</v>
      </c>
      <c r="C280" t="s">
        <v>3326</v>
      </c>
      <c r="D280">
        <v>-1287</v>
      </c>
      <c r="F280">
        <v>37.39</v>
      </c>
      <c r="G280" t="s">
        <v>3326</v>
      </c>
      <c r="I280">
        <v>242</v>
      </c>
      <c r="J280" t="s">
        <v>3455</v>
      </c>
      <c r="K280">
        <v>2</v>
      </c>
      <c r="L280">
        <v>101</v>
      </c>
      <c r="M280">
        <v>168.11</v>
      </c>
      <c r="N280" t="s">
        <v>3403</v>
      </c>
      <c r="P280">
        <v>242</v>
      </c>
      <c r="Q280" t="s">
        <v>3447</v>
      </c>
      <c r="R280" t="s">
        <v>3327</v>
      </c>
      <c r="S280">
        <v>-116</v>
      </c>
      <c r="T280">
        <v>25.56</v>
      </c>
      <c r="U280" t="s">
        <v>3327</v>
      </c>
      <c r="W280">
        <v>242</v>
      </c>
      <c r="X280" t="s">
        <v>3436</v>
      </c>
      <c r="Y280" t="s">
        <v>3326</v>
      </c>
      <c r="Z280">
        <v>-1287</v>
      </c>
      <c r="AA280">
        <v>37.39</v>
      </c>
      <c r="AB280" t="s">
        <v>3326</v>
      </c>
    </row>
    <row r="281" spans="1:28">
      <c r="A281">
        <v>243</v>
      </c>
      <c r="B281" t="s">
        <v>3436</v>
      </c>
      <c r="C281" t="s">
        <v>3326</v>
      </c>
      <c r="D281">
        <v>-1288</v>
      </c>
      <c r="F281">
        <v>37.39</v>
      </c>
      <c r="G281" t="s">
        <v>3326</v>
      </c>
      <c r="I281">
        <v>243</v>
      </c>
      <c r="J281" t="s">
        <v>3455</v>
      </c>
      <c r="K281">
        <v>2</v>
      </c>
      <c r="L281">
        <v>102</v>
      </c>
      <c r="M281">
        <v>184.49</v>
      </c>
      <c r="N281" t="s">
        <v>3403</v>
      </c>
      <c r="P281">
        <v>243</v>
      </c>
      <c r="Q281" t="s">
        <v>3447</v>
      </c>
      <c r="R281" t="s">
        <v>3327</v>
      </c>
      <c r="S281">
        <v>-117</v>
      </c>
      <c r="T281">
        <v>38.43</v>
      </c>
      <c r="U281" t="s">
        <v>3327</v>
      </c>
      <c r="W281">
        <v>243</v>
      </c>
      <c r="X281" t="s">
        <v>3436</v>
      </c>
      <c r="Y281" t="s">
        <v>3326</v>
      </c>
      <c r="Z281">
        <v>-1288</v>
      </c>
      <c r="AA281">
        <v>37.39</v>
      </c>
      <c r="AB281" t="s">
        <v>3326</v>
      </c>
    </row>
    <row r="282" spans="1:28">
      <c r="A282">
        <v>244</v>
      </c>
      <c r="B282" t="s">
        <v>3436</v>
      </c>
      <c r="C282" t="s">
        <v>3326</v>
      </c>
      <c r="D282">
        <v>-1289</v>
      </c>
      <c r="F282">
        <v>37.39</v>
      </c>
      <c r="G282" t="s">
        <v>3326</v>
      </c>
      <c r="I282">
        <v>244</v>
      </c>
      <c r="J282" t="s">
        <v>3455</v>
      </c>
      <c r="K282">
        <v>2</v>
      </c>
      <c r="L282">
        <v>302</v>
      </c>
      <c r="M282">
        <v>184.52</v>
      </c>
      <c r="N282" t="s">
        <v>3403</v>
      </c>
      <c r="P282">
        <v>244</v>
      </c>
      <c r="Q282" t="s">
        <v>3447</v>
      </c>
      <c r="R282" t="s">
        <v>3327</v>
      </c>
      <c r="S282">
        <v>-118</v>
      </c>
      <c r="T282">
        <v>33.71</v>
      </c>
      <c r="U282" t="s">
        <v>3327</v>
      </c>
      <c r="W282">
        <v>244</v>
      </c>
      <c r="X282" t="s">
        <v>3436</v>
      </c>
      <c r="Y282" t="s">
        <v>3326</v>
      </c>
      <c r="Z282">
        <v>-1289</v>
      </c>
      <c r="AA282">
        <v>37.39</v>
      </c>
      <c r="AB282" t="s">
        <v>3326</v>
      </c>
    </row>
    <row r="283" spans="1:28">
      <c r="A283">
        <v>245</v>
      </c>
      <c r="B283" t="s">
        <v>3436</v>
      </c>
      <c r="C283" t="s">
        <v>3326</v>
      </c>
      <c r="D283">
        <v>-1293</v>
      </c>
      <c r="F283">
        <v>37.39</v>
      </c>
      <c r="G283" t="s">
        <v>3326</v>
      </c>
      <c r="I283">
        <v>245</v>
      </c>
      <c r="J283" t="s">
        <v>3455</v>
      </c>
      <c r="K283">
        <v>3</v>
      </c>
      <c r="L283">
        <v>101</v>
      </c>
      <c r="M283">
        <v>168.11</v>
      </c>
      <c r="N283" t="s">
        <v>3403</v>
      </c>
      <c r="P283">
        <v>245</v>
      </c>
      <c r="Q283" t="s">
        <v>3447</v>
      </c>
      <c r="R283" t="s">
        <v>3327</v>
      </c>
      <c r="S283">
        <v>-202</v>
      </c>
      <c r="T283">
        <v>20.2</v>
      </c>
      <c r="U283" t="s">
        <v>3327</v>
      </c>
      <c r="W283">
        <v>245</v>
      </c>
      <c r="X283" t="s">
        <v>3436</v>
      </c>
      <c r="Y283" t="s">
        <v>3326</v>
      </c>
      <c r="Z283">
        <v>-1293</v>
      </c>
      <c r="AA283">
        <v>37.39</v>
      </c>
      <c r="AB283" t="s">
        <v>3326</v>
      </c>
    </row>
    <row r="284" spans="1:28">
      <c r="A284">
        <v>246</v>
      </c>
      <c r="B284" t="s">
        <v>3436</v>
      </c>
      <c r="C284" t="s">
        <v>3326</v>
      </c>
      <c r="D284">
        <v>-1294</v>
      </c>
      <c r="F284">
        <v>37.39</v>
      </c>
      <c r="G284" t="s">
        <v>3326</v>
      </c>
      <c r="I284">
        <v>246</v>
      </c>
      <c r="J284" t="s">
        <v>3455</v>
      </c>
      <c r="K284">
        <v>3</v>
      </c>
      <c r="L284">
        <v>102</v>
      </c>
      <c r="M284">
        <v>184.99</v>
      </c>
      <c r="N284" t="s">
        <v>3403</v>
      </c>
      <c r="P284">
        <v>246</v>
      </c>
      <c r="Q284" t="s">
        <v>3447</v>
      </c>
      <c r="R284" t="s">
        <v>3327</v>
      </c>
      <c r="S284">
        <v>-203</v>
      </c>
      <c r="T284">
        <v>17.68</v>
      </c>
      <c r="U284" t="s">
        <v>3327</v>
      </c>
      <c r="W284">
        <v>246</v>
      </c>
      <c r="X284" t="s">
        <v>3436</v>
      </c>
      <c r="Y284" t="s">
        <v>3326</v>
      </c>
      <c r="Z284">
        <v>-1294</v>
      </c>
      <c r="AA284">
        <v>37.39</v>
      </c>
      <c r="AB284" t="s">
        <v>3326</v>
      </c>
    </row>
    <row r="285" spans="1:28">
      <c r="A285">
        <v>247</v>
      </c>
      <c r="B285" t="s">
        <v>3436</v>
      </c>
      <c r="C285" t="s">
        <v>3326</v>
      </c>
      <c r="D285">
        <v>-1295</v>
      </c>
      <c r="F285">
        <v>37.39</v>
      </c>
      <c r="G285" t="s">
        <v>3326</v>
      </c>
      <c r="I285">
        <v>247</v>
      </c>
      <c r="J285" t="s">
        <v>3455</v>
      </c>
      <c r="K285">
        <v>3</v>
      </c>
      <c r="L285">
        <v>202</v>
      </c>
      <c r="M285">
        <v>185.02</v>
      </c>
      <c r="N285" t="s">
        <v>3403</v>
      </c>
      <c r="P285">
        <v>247</v>
      </c>
      <c r="Q285" t="s">
        <v>3447</v>
      </c>
      <c r="R285" t="s">
        <v>3327</v>
      </c>
      <c r="S285">
        <v>-204</v>
      </c>
      <c r="T285">
        <v>20.22</v>
      </c>
      <c r="U285" t="s">
        <v>3327</v>
      </c>
      <c r="W285">
        <v>247</v>
      </c>
      <c r="X285" t="s">
        <v>3436</v>
      </c>
      <c r="Y285" t="s">
        <v>3326</v>
      </c>
      <c r="Z285">
        <v>-1295</v>
      </c>
      <c r="AA285">
        <v>37.39</v>
      </c>
      <c r="AB285" t="s">
        <v>3326</v>
      </c>
    </row>
    <row r="286" spans="1:28">
      <c r="A286">
        <v>248</v>
      </c>
      <c r="B286" t="s">
        <v>3436</v>
      </c>
      <c r="C286" t="s">
        <v>3326</v>
      </c>
      <c r="D286">
        <v>-1296</v>
      </c>
      <c r="F286">
        <v>37.39</v>
      </c>
      <c r="G286" t="s">
        <v>3326</v>
      </c>
      <c r="I286">
        <v>248</v>
      </c>
      <c r="J286" t="s">
        <v>3455</v>
      </c>
      <c r="K286">
        <v>3</v>
      </c>
      <c r="L286">
        <v>302</v>
      </c>
      <c r="M286">
        <v>185.02</v>
      </c>
      <c r="N286" t="s">
        <v>3403</v>
      </c>
      <c r="P286">
        <v>248</v>
      </c>
      <c r="Q286" t="s">
        <v>3448</v>
      </c>
      <c r="R286" t="s">
        <v>3327</v>
      </c>
      <c r="S286">
        <v>-101</v>
      </c>
      <c r="T286">
        <v>31.06</v>
      </c>
      <c r="U286" t="s">
        <v>3327</v>
      </c>
      <c r="W286">
        <v>248</v>
      </c>
      <c r="X286" t="s">
        <v>3436</v>
      </c>
      <c r="Y286" t="s">
        <v>3326</v>
      </c>
      <c r="Z286">
        <v>-1296</v>
      </c>
      <c r="AA286">
        <v>37.39</v>
      </c>
      <c r="AB286" t="s">
        <v>3326</v>
      </c>
    </row>
    <row r="287" spans="1:28">
      <c r="A287">
        <v>249</v>
      </c>
      <c r="B287" t="s">
        <v>3436</v>
      </c>
      <c r="C287" t="s">
        <v>3326</v>
      </c>
      <c r="D287">
        <v>-1297</v>
      </c>
      <c r="F287">
        <v>37.39</v>
      </c>
      <c r="G287" t="s">
        <v>3326</v>
      </c>
      <c r="I287">
        <v>249</v>
      </c>
      <c r="J287" t="s">
        <v>3455</v>
      </c>
      <c r="K287">
        <v>3</v>
      </c>
      <c r="L287">
        <v>402</v>
      </c>
      <c r="M287">
        <v>185.02</v>
      </c>
      <c r="N287" t="s">
        <v>3403</v>
      </c>
      <c r="P287">
        <v>249</v>
      </c>
      <c r="Q287" t="s">
        <v>3448</v>
      </c>
      <c r="R287" t="s">
        <v>3327</v>
      </c>
      <c r="S287">
        <v>-102</v>
      </c>
      <c r="T287">
        <v>16.309999999999999</v>
      </c>
      <c r="U287" t="s">
        <v>3327</v>
      </c>
      <c r="W287">
        <v>249</v>
      </c>
      <c r="X287" t="s">
        <v>3436</v>
      </c>
      <c r="Y287" t="s">
        <v>3326</v>
      </c>
      <c r="Z287">
        <v>-1297</v>
      </c>
      <c r="AA287">
        <v>37.39</v>
      </c>
      <c r="AB287" t="s">
        <v>3326</v>
      </c>
    </row>
    <row r="288" spans="1:28">
      <c r="A288">
        <v>250</v>
      </c>
      <c r="B288" t="s">
        <v>3436</v>
      </c>
      <c r="C288" t="s">
        <v>3326</v>
      </c>
      <c r="D288">
        <v>-1298</v>
      </c>
      <c r="F288">
        <v>37.39</v>
      </c>
      <c r="G288" t="s">
        <v>3326</v>
      </c>
      <c r="I288">
        <v>250</v>
      </c>
      <c r="J288" t="s">
        <v>3456</v>
      </c>
      <c r="K288">
        <v>1</v>
      </c>
      <c r="L288">
        <v>101</v>
      </c>
      <c r="M288">
        <v>192.38</v>
      </c>
      <c r="N288" t="s">
        <v>3403</v>
      </c>
      <c r="P288">
        <v>250</v>
      </c>
      <c r="Q288" t="s">
        <v>3448</v>
      </c>
      <c r="R288" t="s">
        <v>3327</v>
      </c>
      <c r="S288">
        <v>-103</v>
      </c>
      <c r="T288">
        <v>46.59</v>
      </c>
      <c r="U288" t="s">
        <v>3327</v>
      </c>
      <c r="W288">
        <v>250</v>
      </c>
      <c r="X288" t="s">
        <v>3436</v>
      </c>
      <c r="Y288" t="s">
        <v>3326</v>
      </c>
      <c r="Z288">
        <v>-1298</v>
      </c>
      <c r="AA288">
        <v>37.39</v>
      </c>
      <c r="AB288" t="s">
        <v>3326</v>
      </c>
    </row>
    <row r="289" spans="1:28">
      <c r="A289">
        <v>251</v>
      </c>
      <c r="B289" t="s">
        <v>3436</v>
      </c>
      <c r="C289" t="s">
        <v>3326</v>
      </c>
      <c r="D289">
        <v>-1299</v>
      </c>
      <c r="F289">
        <v>37.39</v>
      </c>
      <c r="G289" t="s">
        <v>3326</v>
      </c>
      <c r="I289">
        <v>251</v>
      </c>
      <c r="J289" t="s">
        <v>3456</v>
      </c>
      <c r="K289">
        <v>1</v>
      </c>
      <c r="L289">
        <v>102</v>
      </c>
      <c r="M289">
        <v>167.95</v>
      </c>
      <c r="N289" t="s">
        <v>3403</v>
      </c>
      <c r="P289">
        <v>251</v>
      </c>
      <c r="Q289" t="s">
        <v>3448</v>
      </c>
      <c r="R289" t="s">
        <v>3327</v>
      </c>
      <c r="S289">
        <v>-104</v>
      </c>
      <c r="T289">
        <v>53.82</v>
      </c>
      <c r="U289" t="s">
        <v>3327</v>
      </c>
      <c r="W289">
        <v>251</v>
      </c>
      <c r="X289" t="s">
        <v>3436</v>
      </c>
      <c r="Y289" t="s">
        <v>3326</v>
      </c>
      <c r="Z289">
        <v>-1299</v>
      </c>
      <c r="AA289">
        <v>37.39</v>
      </c>
      <c r="AB289" t="s">
        <v>3326</v>
      </c>
    </row>
    <row r="290" spans="1:28">
      <c r="A290">
        <v>252</v>
      </c>
      <c r="B290" t="s">
        <v>3436</v>
      </c>
      <c r="C290" t="s">
        <v>3326</v>
      </c>
      <c r="D290">
        <v>-1300</v>
      </c>
      <c r="F290">
        <v>37.39</v>
      </c>
      <c r="G290" t="s">
        <v>3326</v>
      </c>
      <c r="I290">
        <v>252</v>
      </c>
      <c r="J290" t="s">
        <v>3456</v>
      </c>
      <c r="K290">
        <v>1</v>
      </c>
      <c r="L290">
        <v>201</v>
      </c>
      <c r="M290">
        <v>192.4</v>
      </c>
      <c r="N290" t="s">
        <v>3403</v>
      </c>
      <c r="P290">
        <v>252</v>
      </c>
      <c r="Q290" t="s">
        <v>3448</v>
      </c>
      <c r="R290" t="s">
        <v>3327</v>
      </c>
      <c r="S290">
        <v>-105</v>
      </c>
      <c r="T290">
        <v>23.68</v>
      </c>
      <c r="U290" t="s">
        <v>3327</v>
      </c>
      <c r="W290">
        <v>252</v>
      </c>
      <c r="X290" t="s">
        <v>3436</v>
      </c>
      <c r="Y290" t="s">
        <v>3326</v>
      </c>
      <c r="Z290">
        <v>-1300</v>
      </c>
      <c r="AA290">
        <v>37.39</v>
      </c>
      <c r="AB290" t="s">
        <v>3326</v>
      </c>
    </row>
    <row r="291" spans="1:28">
      <c r="A291">
        <v>253</v>
      </c>
      <c r="B291" t="s">
        <v>3436</v>
      </c>
      <c r="C291" t="s">
        <v>3326</v>
      </c>
      <c r="D291">
        <v>-1301</v>
      </c>
      <c r="F291">
        <v>37.39</v>
      </c>
      <c r="G291" t="s">
        <v>3326</v>
      </c>
      <c r="I291">
        <v>253</v>
      </c>
      <c r="J291" t="s">
        <v>3456</v>
      </c>
      <c r="K291">
        <v>1</v>
      </c>
      <c r="L291">
        <v>301</v>
      </c>
      <c r="M291">
        <v>192.4</v>
      </c>
      <c r="N291" t="s">
        <v>3403</v>
      </c>
      <c r="P291">
        <v>253</v>
      </c>
      <c r="Q291" t="s">
        <v>3448</v>
      </c>
      <c r="R291" t="s">
        <v>3327</v>
      </c>
      <c r="S291">
        <v>-106</v>
      </c>
      <c r="T291">
        <v>23.72</v>
      </c>
      <c r="U291" t="s">
        <v>3327</v>
      </c>
      <c r="W291">
        <v>253</v>
      </c>
      <c r="X291" t="s">
        <v>3436</v>
      </c>
      <c r="Y291" t="s">
        <v>3326</v>
      </c>
      <c r="Z291">
        <v>-1301</v>
      </c>
      <c r="AA291">
        <v>37.39</v>
      </c>
      <c r="AB291" t="s">
        <v>3326</v>
      </c>
    </row>
    <row r="292" spans="1:28">
      <c r="A292">
        <v>254</v>
      </c>
      <c r="B292" t="s">
        <v>3436</v>
      </c>
      <c r="C292" t="s">
        <v>3326</v>
      </c>
      <c r="D292">
        <v>-1302</v>
      </c>
      <c r="F292">
        <v>37.39</v>
      </c>
      <c r="G292" t="s">
        <v>3326</v>
      </c>
      <c r="I292">
        <v>254</v>
      </c>
      <c r="J292" t="s">
        <v>3456</v>
      </c>
      <c r="K292">
        <v>1</v>
      </c>
      <c r="L292">
        <v>302</v>
      </c>
      <c r="M292">
        <v>184.35</v>
      </c>
      <c r="N292" t="s">
        <v>3403</v>
      </c>
      <c r="P292">
        <v>254</v>
      </c>
      <c r="Q292" t="s">
        <v>3448</v>
      </c>
      <c r="R292" t="s">
        <v>3327</v>
      </c>
      <c r="S292">
        <v>-107</v>
      </c>
      <c r="T292">
        <v>56.79</v>
      </c>
      <c r="U292" t="s">
        <v>3327</v>
      </c>
      <c r="W292">
        <v>254</v>
      </c>
      <c r="X292" t="s">
        <v>3436</v>
      </c>
      <c r="Y292" t="s">
        <v>3326</v>
      </c>
      <c r="Z292">
        <v>-1302</v>
      </c>
      <c r="AA292">
        <v>37.39</v>
      </c>
      <c r="AB292" t="s">
        <v>3326</v>
      </c>
    </row>
    <row r="293" spans="1:28">
      <c r="A293">
        <v>255</v>
      </c>
      <c r="B293" t="s">
        <v>3436</v>
      </c>
      <c r="C293" t="s">
        <v>3326</v>
      </c>
      <c r="D293">
        <v>-1303</v>
      </c>
      <c r="F293">
        <v>37.39</v>
      </c>
      <c r="G293" t="s">
        <v>3326</v>
      </c>
      <c r="I293">
        <v>255</v>
      </c>
      <c r="J293" t="s">
        <v>3456</v>
      </c>
      <c r="K293">
        <v>1</v>
      </c>
      <c r="L293">
        <v>401</v>
      </c>
      <c r="M293">
        <v>192.4</v>
      </c>
      <c r="N293" t="s">
        <v>3403</v>
      </c>
      <c r="P293">
        <v>255</v>
      </c>
      <c r="Q293" t="s">
        <v>3448</v>
      </c>
      <c r="R293" t="s">
        <v>3327</v>
      </c>
      <c r="S293">
        <v>-108</v>
      </c>
      <c r="T293">
        <v>41.5</v>
      </c>
      <c r="U293" t="s">
        <v>3327</v>
      </c>
      <c r="W293">
        <v>255</v>
      </c>
      <c r="X293" t="s">
        <v>3436</v>
      </c>
      <c r="Y293" t="s">
        <v>3326</v>
      </c>
      <c r="Z293">
        <v>-1303</v>
      </c>
      <c r="AA293">
        <v>37.39</v>
      </c>
      <c r="AB293" t="s">
        <v>3326</v>
      </c>
    </row>
    <row r="294" spans="1:28">
      <c r="A294">
        <v>256</v>
      </c>
      <c r="B294" t="s">
        <v>3436</v>
      </c>
      <c r="C294" t="s">
        <v>3326</v>
      </c>
      <c r="D294">
        <v>-1304</v>
      </c>
      <c r="F294">
        <v>55.34</v>
      </c>
      <c r="G294" t="s">
        <v>3326</v>
      </c>
      <c r="I294">
        <v>256</v>
      </c>
      <c r="J294" t="s">
        <v>3456</v>
      </c>
      <c r="K294">
        <v>2</v>
      </c>
      <c r="L294">
        <v>101</v>
      </c>
      <c r="M294">
        <v>167.95</v>
      </c>
      <c r="N294" t="s">
        <v>3403</v>
      </c>
      <c r="P294">
        <v>256</v>
      </c>
      <c r="Q294" t="s">
        <v>3448</v>
      </c>
      <c r="R294" t="s">
        <v>3327</v>
      </c>
      <c r="S294">
        <v>-109</v>
      </c>
      <c r="T294">
        <v>41.5</v>
      </c>
      <c r="U294" t="s">
        <v>3327</v>
      </c>
      <c r="W294">
        <v>256</v>
      </c>
      <c r="X294" t="s">
        <v>3436</v>
      </c>
      <c r="Y294" t="s">
        <v>3326</v>
      </c>
      <c r="Z294">
        <v>-1304</v>
      </c>
      <c r="AA294">
        <v>55.34</v>
      </c>
      <c r="AB294" t="s">
        <v>3326</v>
      </c>
    </row>
    <row r="295" spans="1:28">
      <c r="A295">
        <v>257</v>
      </c>
      <c r="B295" t="s">
        <v>3436</v>
      </c>
      <c r="C295" t="s">
        <v>3326</v>
      </c>
      <c r="D295">
        <v>-1305</v>
      </c>
      <c r="F295">
        <v>37.39</v>
      </c>
      <c r="G295" t="s">
        <v>3326</v>
      </c>
      <c r="I295">
        <v>257</v>
      </c>
      <c r="J295" t="s">
        <v>3456</v>
      </c>
      <c r="K295">
        <v>2</v>
      </c>
      <c r="L295">
        <v>102</v>
      </c>
      <c r="M295">
        <v>184.81</v>
      </c>
      <c r="N295" t="s">
        <v>3403</v>
      </c>
      <c r="P295">
        <v>257</v>
      </c>
      <c r="Q295" t="s">
        <v>3448</v>
      </c>
      <c r="R295" t="s">
        <v>3327</v>
      </c>
      <c r="S295">
        <v>-110</v>
      </c>
      <c r="T295">
        <v>56.79</v>
      </c>
      <c r="U295" t="s">
        <v>3327</v>
      </c>
      <c r="W295">
        <v>257</v>
      </c>
      <c r="X295" t="s">
        <v>3436</v>
      </c>
      <c r="Y295" t="s">
        <v>3326</v>
      </c>
      <c r="Z295">
        <v>-1305</v>
      </c>
      <c r="AA295">
        <v>37.39</v>
      </c>
      <c r="AB295" t="s">
        <v>3326</v>
      </c>
    </row>
    <row r="296" spans="1:28">
      <c r="A296">
        <v>258</v>
      </c>
      <c r="B296" t="s">
        <v>3436</v>
      </c>
      <c r="C296" t="s">
        <v>3326</v>
      </c>
      <c r="D296">
        <v>-1306</v>
      </c>
      <c r="F296">
        <v>37.39</v>
      </c>
      <c r="G296" t="s">
        <v>3326</v>
      </c>
      <c r="I296">
        <v>258</v>
      </c>
      <c r="J296" t="s">
        <v>3457</v>
      </c>
      <c r="K296">
        <v>1</v>
      </c>
      <c r="L296">
        <v>101</v>
      </c>
      <c r="M296">
        <v>184.92</v>
      </c>
      <c r="N296" t="s">
        <v>3403</v>
      </c>
      <c r="P296">
        <v>258</v>
      </c>
      <c r="Q296" t="s">
        <v>3449</v>
      </c>
      <c r="R296" t="s">
        <v>3327</v>
      </c>
      <c r="S296">
        <v>-106</v>
      </c>
      <c r="T296">
        <v>34.020000000000003</v>
      </c>
      <c r="U296" t="s">
        <v>3327</v>
      </c>
      <c r="W296">
        <v>258</v>
      </c>
      <c r="X296" t="s">
        <v>3436</v>
      </c>
      <c r="Y296" t="s">
        <v>3326</v>
      </c>
      <c r="Z296">
        <v>-1306</v>
      </c>
      <c r="AA296">
        <v>37.39</v>
      </c>
      <c r="AB296" t="s">
        <v>3326</v>
      </c>
    </row>
    <row r="297" spans="1:28">
      <c r="A297">
        <v>259</v>
      </c>
      <c r="B297" t="s">
        <v>3436</v>
      </c>
      <c r="C297" t="s">
        <v>3326</v>
      </c>
      <c r="D297">
        <v>-1309</v>
      </c>
      <c r="F297">
        <v>37.39</v>
      </c>
      <c r="G297" t="s">
        <v>3326</v>
      </c>
      <c r="I297">
        <v>259</v>
      </c>
      <c r="J297" t="s">
        <v>3457</v>
      </c>
      <c r="K297">
        <v>1</v>
      </c>
      <c r="L297">
        <v>102</v>
      </c>
      <c r="M297">
        <v>168.05</v>
      </c>
      <c r="N297" t="s">
        <v>3403</v>
      </c>
      <c r="P297">
        <v>259</v>
      </c>
      <c r="Q297" t="s">
        <v>3449</v>
      </c>
      <c r="R297" t="s">
        <v>3327</v>
      </c>
      <c r="S297">
        <v>-107</v>
      </c>
      <c r="T297">
        <v>62.35</v>
      </c>
      <c r="U297" t="s">
        <v>3327</v>
      </c>
      <c r="W297">
        <v>259</v>
      </c>
      <c r="X297" t="s">
        <v>3436</v>
      </c>
      <c r="Y297" t="s">
        <v>3326</v>
      </c>
      <c r="Z297">
        <v>-1309</v>
      </c>
      <c r="AA297">
        <v>37.39</v>
      </c>
      <c r="AB297" t="s">
        <v>3326</v>
      </c>
    </row>
    <row r="298" spans="1:28">
      <c r="A298">
        <v>260</v>
      </c>
      <c r="B298" t="s">
        <v>3436</v>
      </c>
      <c r="C298" t="s">
        <v>3326</v>
      </c>
      <c r="D298">
        <v>-1310</v>
      </c>
      <c r="F298">
        <v>37.39</v>
      </c>
      <c r="G298" t="s">
        <v>3326</v>
      </c>
      <c r="I298">
        <v>260</v>
      </c>
      <c r="J298" t="s">
        <v>3457</v>
      </c>
      <c r="K298">
        <v>1</v>
      </c>
      <c r="L298">
        <v>201</v>
      </c>
      <c r="M298">
        <v>184.96</v>
      </c>
      <c r="N298" t="s">
        <v>3403</v>
      </c>
      <c r="P298">
        <v>260</v>
      </c>
      <c r="Q298" t="s">
        <v>3449</v>
      </c>
      <c r="R298" t="s">
        <v>3327</v>
      </c>
      <c r="S298">
        <v>-108</v>
      </c>
      <c r="T298">
        <v>47.28</v>
      </c>
      <c r="U298" t="s">
        <v>3327</v>
      </c>
      <c r="W298">
        <v>260</v>
      </c>
      <c r="X298" t="s">
        <v>3436</v>
      </c>
      <c r="Y298" t="s">
        <v>3326</v>
      </c>
      <c r="Z298">
        <v>-1310</v>
      </c>
      <c r="AA298">
        <v>37.39</v>
      </c>
      <c r="AB298" t="s">
        <v>3326</v>
      </c>
    </row>
    <row r="299" spans="1:28">
      <c r="A299">
        <v>261</v>
      </c>
      <c r="B299" t="s">
        <v>3436</v>
      </c>
      <c r="C299" t="s">
        <v>3326</v>
      </c>
      <c r="D299">
        <v>-1311</v>
      </c>
      <c r="F299">
        <v>37.39</v>
      </c>
      <c r="G299" t="s">
        <v>3326</v>
      </c>
      <c r="I299">
        <v>261</v>
      </c>
      <c r="J299" t="s">
        <v>3457</v>
      </c>
      <c r="K299">
        <v>1</v>
      </c>
      <c r="L299">
        <v>202</v>
      </c>
      <c r="M299">
        <v>184.96</v>
      </c>
      <c r="N299" t="s">
        <v>3403</v>
      </c>
      <c r="P299">
        <v>261</v>
      </c>
      <c r="Q299" t="s">
        <v>3449</v>
      </c>
      <c r="R299" t="s">
        <v>3327</v>
      </c>
      <c r="S299">
        <v>-109</v>
      </c>
      <c r="T299">
        <v>47.28</v>
      </c>
      <c r="U299" t="s">
        <v>3327</v>
      </c>
      <c r="W299">
        <v>261</v>
      </c>
      <c r="X299" t="s">
        <v>3436</v>
      </c>
      <c r="Y299" t="s">
        <v>3326</v>
      </c>
      <c r="Z299">
        <v>-1311</v>
      </c>
      <c r="AA299">
        <v>37.39</v>
      </c>
      <c r="AB299" t="s">
        <v>3326</v>
      </c>
    </row>
    <row r="300" spans="1:28">
      <c r="A300">
        <v>262</v>
      </c>
      <c r="B300" t="s">
        <v>3436</v>
      </c>
      <c r="C300" t="s">
        <v>3326</v>
      </c>
      <c r="D300">
        <v>-1312</v>
      </c>
      <c r="F300">
        <v>37.39</v>
      </c>
      <c r="G300" t="s">
        <v>3326</v>
      </c>
      <c r="I300">
        <v>262</v>
      </c>
      <c r="J300" t="s">
        <v>3457</v>
      </c>
      <c r="K300">
        <v>1</v>
      </c>
      <c r="L300">
        <v>302</v>
      </c>
      <c r="M300">
        <v>184.96</v>
      </c>
      <c r="N300" t="s">
        <v>3403</v>
      </c>
      <c r="P300">
        <v>262</v>
      </c>
      <c r="Q300" t="s">
        <v>3448</v>
      </c>
      <c r="R300" t="s">
        <v>3327</v>
      </c>
      <c r="S300">
        <v>-111</v>
      </c>
      <c r="T300">
        <v>23.72</v>
      </c>
      <c r="U300" t="s">
        <v>3327</v>
      </c>
      <c r="W300">
        <v>262</v>
      </c>
      <c r="X300" t="s">
        <v>3436</v>
      </c>
      <c r="Y300" t="s">
        <v>3326</v>
      </c>
      <c r="Z300">
        <v>-1312</v>
      </c>
      <c r="AA300">
        <v>37.39</v>
      </c>
      <c r="AB300" t="s">
        <v>3326</v>
      </c>
    </row>
    <row r="301" spans="1:28">
      <c r="A301">
        <v>263</v>
      </c>
      <c r="B301" t="s">
        <v>3436</v>
      </c>
      <c r="C301" t="s">
        <v>3326</v>
      </c>
      <c r="D301">
        <v>-1313</v>
      </c>
      <c r="F301">
        <v>37.39</v>
      </c>
      <c r="G301" t="s">
        <v>3326</v>
      </c>
      <c r="I301">
        <v>263</v>
      </c>
      <c r="J301" t="s">
        <v>3457</v>
      </c>
      <c r="K301">
        <v>1</v>
      </c>
      <c r="L301">
        <v>401</v>
      </c>
      <c r="M301">
        <v>184.96</v>
      </c>
      <c r="N301" t="s">
        <v>3403</v>
      </c>
      <c r="P301">
        <v>263</v>
      </c>
      <c r="Q301" t="s">
        <v>3449</v>
      </c>
      <c r="R301" t="s">
        <v>3327</v>
      </c>
      <c r="S301">
        <v>-110</v>
      </c>
      <c r="T301">
        <v>62.35</v>
      </c>
      <c r="U301" t="s">
        <v>3327</v>
      </c>
      <c r="W301">
        <v>263</v>
      </c>
      <c r="X301" t="s">
        <v>3436</v>
      </c>
      <c r="Y301" t="s">
        <v>3326</v>
      </c>
      <c r="Z301">
        <v>-1313</v>
      </c>
      <c r="AA301">
        <v>37.39</v>
      </c>
      <c r="AB301" t="s">
        <v>3326</v>
      </c>
    </row>
    <row r="302" spans="1:28">
      <c r="A302">
        <v>264</v>
      </c>
      <c r="B302" t="s">
        <v>3436</v>
      </c>
      <c r="C302" t="s">
        <v>3326</v>
      </c>
      <c r="D302">
        <v>-1314</v>
      </c>
      <c r="F302">
        <v>37.39</v>
      </c>
      <c r="G302" t="s">
        <v>3326</v>
      </c>
      <c r="I302">
        <v>264</v>
      </c>
      <c r="J302" t="s">
        <v>3457</v>
      </c>
      <c r="K302">
        <v>1</v>
      </c>
      <c r="L302">
        <v>402</v>
      </c>
      <c r="M302">
        <v>184.96</v>
      </c>
      <c r="N302" t="s">
        <v>3403</v>
      </c>
      <c r="P302">
        <v>264</v>
      </c>
      <c r="Q302" t="s">
        <v>3449</v>
      </c>
      <c r="R302" t="s">
        <v>3327</v>
      </c>
      <c r="S302">
        <v>-111</v>
      </c>
      <c r="T302">
        <v>34.020000000000003</v>
      </c>
      <c r="U302" t="s">
        <v>3327</v>
      </c>
      <c r="W302">
        <v>264</v>
      </c>
      <c r="X302" t="s">
        <v>3436</v>
      </c>
      <c r="Y302" t="s">
        <v>3326</v>
      </c>
      <c r="Z302">
        <v>-1314</v>
      </c>
      <c r="AA302">
        <v>37.39</v>
      </c>
      <c r="AB302" t="s">
        <v>3326</v>
      </c>
    </row>
    <row r="303" spans="1:28">
      <c r="A303">
        <v>265</v>
      </c>
      <c r="B303" t="s">
        <v>3436</v>
      </c>
      <c r="C303" t="s">
        <v>3326</v>
      </c>
      <c r="D303">
        <v>-1315</v>
      </c>
      <c r="F303">
        <v>37.39</v>
      </c>
      <c r="G303" t="s">
        <v>3326</v>
      </c>
      <c r="I303">
        <v>265</v>
      </c>
      <c r="J303" t="s">
        <v>3458</v>
      </c>
      <c r="K303">
        <v>1</v>
      </c>
      <c r="L303">
        <v>102</v>
      </c>
      <c r="M303">
        <v>192.52</v>
      </c>
      <c r="N303" t="s">
        <v>3403</v>
      </c>
      <c r="P303">
        <v>265</v>
      </c>
      <c r="Q303" t="s">
        <v>3449</v>
      </c>
      <c r="R303" t="s">
        <v>3327</v>
      </c>
      <c r="S303">
        <v>-112</v>
      </c>
      <c r="T303">
        <v>34.020000000000003</v>
      </c>
      <c r="U303" t="s">
        <v>3327</v>
      </c>
      <c r="W303">
        <v>265</v>
      </c>
      <c r="X303" t="s">
        <v>3436</v>
      </c>
      <c r="Y303" t="s">
        <v>3326</v>
      </c>
      <c r="Z303">
        <v>-1315</v>
      </c>
      <c r="AA303">
        <v>37.39</v>
      </c>
      <c r="AB303" t="s">
        <v>3326</v>
      </c>
    </row>
    <row r="304" spans="1:28">
      <c r="A304">
        <v>266</v>
      </c>
      <c r="B304" t="s">
        <v>3436</v>
      </c>
      <c r="C304" t="s">
        <v>3326</v>
      </c>
      <c r="D304">
        <v>-1316</v>
      </c>
      <c r="F304">
        <v>37.39</v>
      </c>
      <c r="G304" t="s">
        <v>3326</v>
      </c>
      <c r="I304">
        <v>266</v>
      </c>
      <c r="J304" t="s">
        <v>3458</v>
      </c>
      <c r="K304">
        <v>1</v>
      </c>
      <c r="L304">
        <v>301</v>
      </c>
      <c r="M304">
        <v>192.54</v>
      </c>
      <c r="N304" t="s">
        <v>3403</v>
      </c>
      <c r="P304">
        <v>266</v>
      </c>
      <c r="Q304" t="s">
        <v>3449</v>
      </c>
      <c r="R304" t="s">
        <v>3327</v>
      </c>
      <c r="S304">
        <v>-113</v>
      </c>
      <c r="T304">
        <v>62.35</v>
      </c>
      <c r="U304" t="s">
        <v>3327</v>
      </c>
      <c r="W304">
        <v>266</v>
      </c>
      <c r="X304" t="s">
        <v>3436</v>
      </c>
      <c r="Y304" t="s">
        <v>3326</v>
      </c>
      <c r="Z304">
        <v>-1316</v>
      </c>
      <c r="AA304">
        <v>37.39</v>
      </c>
      <c r="AB304" t="s">
        <v>3326</v>
      </c>
    </row>
    <row r="305" spans="1:28">
      <c r="A305">
        <v>267</v>
      </c>
      <c r="B305" t="s">
        <v>3436</v>
      </c>
      <c r="C305" t="s">
        <v>3326</v>
      </c>
      <c r="D305">
        <v>-1317</v>
      </c>
      <c r="F305">
        <v>37.39</v>
      </c>
      <c r="G305" t="s">
        <v>3326</v>
      </c>
      <c r="I305">
        <v>267</v>
      </c>
      <c r="J305" t="s">
        <v>3458</v>
      </c>
      <c r="K305">
        <v>1</v>
      </c>
      <c r="L305">
        <v>401</v>
      </c>
      <c r="M305">
        <v>192.54</v>
      </c>
      <c r="N305" t="s">
        <v>3403</v>
      </c>
      <c r="P305">
        <v>267</v>
      </c>
      <c r="Q305" t="s">
        <v>3449</v>
      </c>
      <c r="R305" t="s">
        <v>3327</v>
      </c>
      <c r="S305">
        <v>-114</v>
      </c>
      <c r="T305">
        <v>46.95</v>
      </c>
      <c r="U305" t="s">
        <v>3327</v>
      </c>
      <c r="W305">
        <v>267</v>
      </c>
      <c r="X305" t="s">
        <v>3436</v>
      </c>
      <c r="Y305" t="s">
        <v>3326</v>
      </c>
      <c r="Z305">
        <v>-1317</v>
      </c>
      <c r="AA305">
        <v>37.39</v>
      </c>
      <c r="AB305" t="s">
        <v>3326</v>
      </c>
    </row>
    <row r="306" spans="1:28">
      <c r="A306">
        <v>268</v>
      </c>
      <c r="B306" t="s">
        <v>3436</v>
      </c>
      <c r="C306" t="s">
        <v>3326</v>
      </c>
      <c r="D306">
        <v>-1318</v>
      </c>
      <c r="F306">
        <v>37.39</v>
      </c>
      <c r="G306" t="s">
        <v>3326</v>
      </c>
      <c r="I306">
        <v>268</v>
      </c>
      <c r="J306" t="s">
        <v>3459</v>
      </c>
      <c r="K306">
        <v>1</v>
      </c>
      <c r="L306">
        <v>102</v>
      </c>
      <c r="M306">
        <v>168.04</v>
      </c>
      <c r="N306" t="s">
        <v>3403</v>
      </c>
      <c r="P306">
        <v>268</v>
      </c>
      <c r="Q306" t="s">
        <v>3449</v>
      </c>
      <c r="R306" t="s">
        <v>3327</v>
      </c>
      <c r="S306">
        <v>-115</v>
      </c>
      <c r="T306">
        <v>46.95</v>
      </c>
      <c r="U306" t="s">
        <v>3327</v>
      </c>
      <c r="W306">
        <v>268</v>
      </c>
      <c r="X306" t="s">
        <v>3436</v>
      </c>
      <c r="Y306" t="s">
        <v>3326</v>
      </c>
      <c r="Z306">
        <v>-1318</v>
      </c>
      <c r="AA306">
        <v>37.39</v>
      </c>
      <c r="AB306" t="s">
        <v>3326</v>
      </c>
    </row>
    <row r="307" spans="1:28">
      <c r="A307">
        <v>269</v>
      </c>
      <c r="B307" t="s">
        <v>3436</v>
      </c>
      <c r="C307" t="s">
        <v>3326</v>
      </c>
      <c r="D307">
        <v>-1319</v>
      </c>
      <c r="F307">
        <v>37.39</v>
      </c>
      <c r="G307" t="s">
        <v>3326</v>
      </c>
      <c r="I307">
        <v>269</v>
      </c>
      <c r="J307" t="s">
        <v>3459</v>
      </c>
      <c r="K307">
        <v>2</v>
      </c>
      <c r="L307">
        <v>101</v>
      </c>
      <c r="M307">
        <v>168.04</v>
      </c>
      <c r="N307" t="s">
        <v>3403</v>
      </c>
      <c r="P307">
        <v>269</v>
      </c>
      <c r="Q307" t="s">
        <v>3449</v>
      </c>
      <c r="R307" t="s">
        <v>3327</v>
      </c>
      <c r="S307">
        <v>-116</v>
      </c>
      <c r="T307">
        <v>62.35</v>
      </c>
      <c r="U307" t="s">
        <v>3327</v>
      </c>
      <c r="W307">
        <v>269</v>
      </c>
      <c r="X307" t="s">
        <v>3436</v>
      </c>
      <c r="Y307" t="s">
        <v>3326</v>
      </c>
      <c r="Z307">
        <v>-1319</v>
      </c>
      <c r="AA307">
        <v>37.39</v>
      </c>
      <c r="AB307" t="s">
        <v>3326</v>
      </c>
    </row>
    <row r="308" spans="1:28">
      <c r="A308">
        <v>270</v>
      </c>
      <c r="B308" t="s">
        <v>3436</v>
      </c>
      <c r="C308" t="s">
        <v>3326</v>
      </c>
      <c r="D308">
        <v>-1320</v>
      </c>
      <c r="F308">
        <v>37.39</v>
      </c>
      <c r="G308" t="s">
        <v>3326</v>
      </c>
      <c r="I308">
        <v>270</v>
      </c>
      <c r="J308" t="s">
        <v>3459</v>
      </c>
      <c r="K308">
        <v>2</v>
      </c>
      <c r="L308">
        <v>102</v>
      </c>
      <c r="M308">
        <v>184.41</v>
      </c>
      <c r="N308" t="s">
        <v>3403</v>
      </c>
      <c r="P308">
        <v>270</v>
      </c>
      <c r="Q308" t="s">
        <v>3449</v>
      </c>
      <c r="R308" t="s">
        <v>3327</v>
      </c>
      <c r="S308">
        <v>-117</v>
      </c>
      <c r="T308">
        <v>34.020000000000003</v>
      </c>
      <c r="U308" t="s">
        <v>3327</v>
      </c>
      <c r="W308">
        <v>270</v>
      </c>
      <c r="X308" t="s">
        <v>3436</v>
      </c>
      <c r="Y308" t="s">
        <v>3326</v>
      </c>
      <c r="Z308">
        <v>-1320</v>
      </c>
      <c r="AA308">
        <v>37.39</v>
      </c>
      <c r="AB308" t="s">
        <v>3326</v>
      </c>
    </row>
    <row r="309" spans="1:28">
      <c r="A309">
        <v>271</v>
      </c>
      <c r="B309" t="s">
        <v>3436</v>
      </c>
      <c r="C309" t="s">
        <v>3326</v>
      </c>
      <c r="D309">
        <v>-1321</v>
      </c>
      <c r="F309">
        <v>37.39</v>
      </c>
      <c r="G309" t="s">
        <v>3326</v>
      </c>
      <c r="I309">
        <v>271</v>
      </c>
      <c r="J309" t="s">
        <v>3459</v>
      </c>
      <c r="K309">
        <v>2</v>
      </c>
      <c r="L309">
        <v>301</v>
      </c>
      <c r="M309">
        <v>184.45</v>
      </c>
      <c r="N309" t="s">
        <v>3403</v>
      </c>
      <c r="P309">
        <v>271</v>
      </c>
      <c r="Q309" t="s">
        <v>3449</v>
      </c>
      <c r="R309" t="s">
        <v>3327</v>
      </c>
      <c r="S309">
        <v>-118</v>
      </c>
      <c r="T309">
        <v>34.020000000000003</v>
      </c>
      <c r="U309" t="s">
        <v>3327</v>
      </c>
      <c r="W309">
        <v>271</v>
      </c>
      <c r="X309" t="s">
        <v>3436</v>
      </c>
      <c r="Y309" t="s">
        <v>3326</v>
      </c>
      <c r="Z309">
        <v>-1321</v>
      </c>
      <c r="AA309">
        <v>37.39</v>
      </c>
      <c r="AB309" t="s">
        <v>3326</v>
      </c>
    </row>
    <row r="310" spans="1:28">
      <c r="A310">
        <v>272</v>
      </c>
      <c r="B310" t="s">
        <v>3436</v>
      </c>
      <c r="C310" t="s">
        <v>3326</v>
      </c>
      <c r="D310">
        <v>-1322</v>
      </c>
      <c r="F310">
        <v>37.39</v>
      </c>
      <c r="G310" t="s">
        <v>3326</v>
      </c>
      <c r="I310">
        <v>272</v>
      </c>
      <c r="J310" t="s">
        <v>3459</v>
      </c>
      <c r="K310">
        <v>2</v>
      </c>
      <c r="L310">
        <v>302</v>
      </c>
      <c r="M310">
        <v>184.45</v>
      </c>
      <c r="N310" t="s">
        <v>3403</v>
      </c>
      <c r="P310">
        <v>272</v>
      </c>
      <c r="Q310" t="s">
        <v>3449</v>
      </c>
      <c r="R310" t="s">
        <v>3327</v>
      </c>
      <c r="S310">
        <v>-119</v>
      </c>
      <c r="T310">
        <v>62.64</v>
      </c>
      <c r="U310" t="s">
        <v>3327</v>
      </c>
      <c r="W310">
        <v>272</v>
      </c>
      <c r="X310" t="s">
        <v>3436</v>
      </c>
      <c r="Y310" t="s">
        <v>3326</v>
      </c>
      <c r="Z310">
        <v>-1322</v>
      </c>
      <c r="AA310">
        <v>37.39</v>
      </c>
      <c r="AB310" t="s">
        <v>3326</v>
      </c>
    </row>
    <row r="311" spans="1:28">
      <c r="A311">
        <v>273</v>
      </c>
      <c r="B311" t="s">
        <v>3436</v>
      </c>
      <c r="C311" t="s">
        <v>3326</v>
      </c>
      <c r="D311">
        <v>-1323</v>
      </c>
      <c r="F311">
        <v>37.39</v>
      </c>
      <c r="G311" t="s">
        <v>3326</v>
      </c>
      <c r="I311">
        <v>273</v>
      </c>
      <c r="J311" t="s">
        <v>3459</v>
      </c>
      <c r="K311">
        <v>2</v>
      </c>
      <c r="L311">
        <v>401</v>
      </c>
      <c r="M311">
        <v>184.45</v>
      </c>
      <c r="N311" t="s">
        <v>3403</v>
      </c>
      <c r="P311">
        <v>273</v>
      </c>
      <c r="Q311" t="s">
        <v>3448</v>
      </c>
      <c r="R311" t="s">
        <v>3327</v>
      </c>
      <c r="S311">
        <v>-112</v>
      </c>
      <c r="T311">
        <v>23.68</v>
      </c>
      <c r="U311" t="s">
        <v>3327</v>
      </c>
      <c r="W311">
        <v>273</v>
      </c>
      <c r="X311" t="s">
        <v>3436</v>
      </c>
      <c r="Y311" t="s">
        <v>3326</v>
      </c>
      <c r="Z311">
        <v>-1323</v>
      </c>
      <c r="AA311">
        <v>37.39</v>
      </c>
      <c r="AB311" t="s">
        <v>3326</v>
      </c>
    </row>
    <row r="312" spans="1:28">
      <c r="A312">
        <v>274</v>
      </c>
      <c r="B312" t="s">
        <v>3436</v>
      </c>
      <c r="C312" t="s">
        <v>3326</v>
      </c>
      <c r="D312">
        <v>-1324</v>
      </c>
      <c r="F312">
        <v>37.39</v>
      </c>
      <c r="G312" t="s">
        <v>3326</v>
      </c>
      <c r="I312">
        <v>274</v>
      </c>
      <c r="J312" t="s">
        <v>3459</v>
      </c>
      <c r="K312">
        <v>2</v>
      </c>
      <c r="L312">
        <v>402</v>
      </c>
      <c r="M312">
        <v>184.45</v>
      </c>
      <c r="N312" t="s">
        <v>3403</v>
      </c>
      <c r="P312">
        <v>274</v>
      </c>
      <c r="Q312" t="s">
        <v>3449</v>
      </c>
      <c r="R312" t="s">
        <v>3327</v>
      </c>
      <c r="S312">
        <v>-120</v>
      </c>
      <c r="T312">
        <v>57</v>
      </c>
      <c r="U312" t="s">
        <v>3327</v>
      </c>
      <c r="W312">
        <v>274</v>
      </c>
      <c r="X312" t="s">
        <v>3436</v>
      </c>
      <c r="Y312" t="s">
        <v>3326</v>
      </c>
      <c r="Z312">
        <v>-1324</v>
      </c>
      <c r="AA312">
        <v>37.39</v>
      </c>
      <c r="AB312" t="s">
        <v>3326</v>
      </c>
    </row>
    <row r="313" spans="1:28">
      <c r="A313">
        <v>275</v>
      </c>
      <c r="B313" t="s">
        <v>3436</v>
      </c>
      <c r="C313" t="s">
        <v>3326</v>
      </c>
      <c r="D313">
        <v>-1325</v>
      </c>
      <c r="F313">
        <v>37.39</v>
      </c>
      <c r="G313" t="s">
        <v>3326</v>
      </c>
      <c r="I313">
        <v>275</v>
      </c>
      <c r="J313" t="s">
        <v>3459</v>
      </c>
      <c r="K313">
        <v>3</v>
      </c>
      <c r="L313">
        <v>101</v>
      </c>
      <c r="M313">
        <v>168.04</v>
      </c>
      <c r="N313" t="s">
        <v>3403</v>
      </c>
      <c r="P313">
        <v>275</v>
      </c>
      <c r="Q313" t="s">
        <v>3449</v>
      </c>
      <c r="R313" t="s">
        <v>3327</v>
      </c>
      <c r="S313">
        <v>-121</v>
      </c>
      <c r="T313">
        <v>30.74</v>
      </c>
      <c r="U313" t="s">
        <v>3327</v>
      </c>
      <c r="W313">
        <v>275</v>
      </c>
      <c r="X313" t="s">
        <v>3436</v>
      </c>
      <c r="Y313" t="s">
        <v>3326</v>
      </c>
      <c r="Z313">
        <v>-1325</v>
      </c>
      <c r="AA313">
        <v>37.39</v>
      </c>
      <c r="AB313" t="s">
        <v>3326</v>
      </c>
    </row>
    <row r="314" spans="1:28">
      <c r="A314">
        <v>276</v>
      </c>
      <c r="B314" t="s">
        <v>3436</v>
      </c>
      <c r="C314" t="s">
        <v>3326</v>
      </c>
      <c r="D314">
        <v>-1326</v>
      </c>
      <c r="F314">
        <v>37.39</v>
      </c>
      <c r="G314" t="s">
        <v>3326</v>
      </c>
      <c r="I314">
        <v>276</v>
      </c>
      <c r="J314" t="s">
        <v>3459</v>
      </c>
      <c r="K314">
        <v>3</v>
      </c>
      <c r="L314">
        <v>102</v>
      </c>
      <c r="M314">
        <v>184.91</v>
      </c>
      <c r="N314" t="s">
        <v>3403</v>
      </c>
      <c r="P314">
        <v>276</v>
      </c>
      <c r="Q314" t="s">
        <v>3449</v>
      </c>
      <c r="R314" t="s">
        <v>3327</v>
      </c>
      <c r="S314">
        <v>-122</v>
      </c>
      <c r="T314">
        <v>25.19</v>
      </c>
      <c r="U314" t="s">
        <v>3327</v>
      </c>
      <c r="W314">
        <v>276</v>
      </c>
      <c r="X314" t="s">
        <v>3436</v>
      </c>
      <c r="Y314" t="s">
        <v>3326</v>
      </c>
      <c r="Z314">
        <v>-1326</v>
      </c>
      <c r="AA314">
        <v>37.39</v>
      </c>
      <c r="AB314" t="s">
        <v>3326</v>
      </c>
    </row>
    <row r="315" spans="1:28">
      <c r="A315">
        <v>277</v>
      </c>
      <c r="B315" t="s">
        <v>3436</v>
      </c>
      <c r="C315" t="s">
        <v>3326</v>
      </c>
      <c r="D315">
        <v>-1327</v>
      </c>
      <c r="F315">
        <v>37.39</v>
      </c>
      <c r="G315" t="s">
        <v>3326</v>
      </c>
      <c r="I315">
        <v>277</v>
      </c>
      <c r="J315" t="s">
        <v>3459</v>
      </c>
      <c r="K315">
        <v>3</v>
      </c>
      <c r="L315">
        <v>402</v>
      </c>
      <c r="M315">
        <v>184.95</v>
      </c>
      <c r="N315" t="s">
        <v>3403</v>
      </c>
      <c r="P315">
        <v>277</v>
      </c>
      <c r="Q315" t="s">
        <v>3449</v>
      </c>
      <c r="R315" t="s">
        <v>3327</v>
      </c>
      <c r="S315">
        <v>-123</v>
      </c>
      <c r="T315">
        <v>28.51</v>
      </c>
      <c r="U315" t="s">
        <v>3327</v>
      </c>
      <c r="W315">
        <v>277</v>
      </c>
      <c r="X315" t="s">
        <v>3436</v>
      </c>
      <c r="Y315" t="s">
        <v>3326</v>
      </c>
      <c r="Z315">
        <v>-1327</v>
      </c>
      <c r="AA315">
        <v>37.39</v>
      </c>
      <c r="AB315" t="s">
        <v>3326</v>
      </c>
    </row>
    <row r="316" spans="1:28">
      <c r="A316">
        <v>278</v>
      </c>
      <c r="B316" t="s">
        <v>3436</v>
      </c>
      <c r="C316" t="s">
        <v>3326</v>
      </c>
      <c r="D316">
        <v>-1328</v>
      </c>
      <c r="F316">
        <v>37.39</v>
      </c>
      <c r="G316" t="s">
        <v>3326</v>
      </c>
      <c r="I316">
        <v>278</v>
      </c>
      <c r="J316" t="s">
        <v>3460</v>
      </c>
      <c r="K316">
        <v>1</v>
      </c>
      <c r="L316">
        <v>101</v>
      </c>
      <c r="M316">
        <v>192.5</v>
      </c>
      <c r="N316" t="s">
        <v>3403</v>
      </c>
      <c r="P316">
        <v>278</v>
      </c>
      <c r="Q316" t="s">
        <v>3449</v>
      </c>
      <c r="R316" t="s">
        <v>3327</v>
      </c>
      <c r="S316">
        <v>-124</v>
      </c>
      <c r="T316">
        <v>28.51</v>
      </c>
      <c r="U316" t="s">
        <v>3327</v>
      </c>
      <c r="W316">
        <v>278</v>
      </c>
      <c r="X316" t="s">
        <v>3436</v>
      </c>
      <c r="Y316" t="s">
        <v>3326</v>
      </c>
      <c r="Z316">
        <v>-1328</v>
      </c>
      <c r="AA316">
        <v>37.39</v>
      </c>
      <c r="AB316" t="s">
        <v>3326</v>
      </c>
    </row>
    <row r="317" spans="1:28">
      <c r="A317">
        <v>279</v>
      </c>
      <c r="B317" t="s">
        <v>3436</v>
      </c>
      <c r="C317" t="s">
        <v>3326</v>
      </c>
      <c r="D317">
        <v>-1329</v>
      </c>
      <c r="F317">
        <v>37.39</v>
      </c>
      <c r="G317" t="s">
        <v>3326</v>
      </c>
      <c r="I317">
        <v>279</v>
      </c>
      <c r="J317" t="s">
        <v>3460</v>
      </c>
      <c r="K317">
        <v>1</v>
      </c>
      <c r="L317">
        <v>102</v>
      </c>
      <c r="M317">
        <v>161.81</v>
      </c>
      <c r="N317" t="s">
        <v>3403</v>
      </c>
      <c r="P317">
        <v>279</v>
      </c>
      <c r="Q317" t="s">
        <v>3449</v>
      </c>
      <c r="R317" t="s">
        <v>3327</v>
      </c>
      <c r="S317">
        <v>-125</v>
      </c>
      <c r="T317">
        <v>22.29</v>
      </c>
      <c r="U317" t="s">
        <v>3327</v>
      </c>
      <c r="W317">
        <v>279</v>
      </c>
      <c r="X317" t="s">
        <v>3436</v>
      </c>
      <c r="Y317" t="s">
        <v>3326</v>
      </c>
      <c r="Z317">
        <v>-1329</v>
      </c>
      <c r="AA317">
        <v>37.39</v>
      </c>
      <c r="AB317" t="s">
        <v>3326</v>
      </c>
    </row>
    <row r="318" spans="1:28">
      <c r="A318">
        <v>280</v>
      </c>
      <c r="B318" t="s">
        <v>3436</v>
      </c>
      <c r="C318" t="s">
        <v>3326</v>
      </c>
      <c r="D318">
        <v>-1332</v>
      </c>
      <c r="F318">
        <v>37.39</v>
      </c>
      <c r="G318" t="s">
        <v>3326</v>
      </c>
      <c r="I318">
        <v>280</v>
      </c>
      <c r="J318" t="s">
        <v>3460</v>
      </c>
      <c r="K318">
        <v>1</v>
      </c>
      <c r="L318">
        <v>201</v>
      </c>
      <c r="M318">
        <v>192.52</v>
      </c>
      <c r="N318" t="s">
        <v>3403</v>
      </c>
      <c r="P318">
        <v>280</v>
      </c>
      <c r="Q318" t="s">
        <v>3449</v>
      </c>
      <c r="R318" t="s">
        <v>3327</v>
      </c>
      <c r="S318">
        <v>-126</v>
      </c>
      <c r="T318">
        <v>43.1</v>
      </c>
      <c r="U318" t="s">
        <v>3327</v>
      </c>
      <c r="W318">
        <v>280</v>
      </c>
      <c r="X318" t="s">
        <v>3436</v>
      </c>
      <c r="Y318" t="s">
        <v>3326</v>
      </c>
      <c r="Z318">
        <v>-1332</v>
      </c>
      <c r="AA318">
        <v>37.39</v>
      </c>
      <c r="AB318" t="s">
        <v>3326</v>
      </c>
    </row>
    <row r="319" spans="1:28">
      <c r="A319">
        <v>281</v>
      </c>
      <c r="B319" t="s">
        <v>3436</v>
      </c>
      <c r="C319" t="s">
        <v>3326</v>
      </c>
      <c r="D319">
        <v>-1335</v>
      </c>
      <c r="F319">
        <v>37.39</v>
      </c>
      <c r="G319" t="s">
        <v>3326</v>
      </c>
      <c r="I319">
        <v>281</v>
      </c>
      <c r="J319" t="s">
        <v>3460</v>
      </c>
      <c r="K319">
        <v>1</v>
      </c>
      <c r="L319">
        <v>202</v>
      </c>
      <c r="M319">
        <v>184.46</v>
      </c>
      <c r="N319" t="s">
        <v>3403</v>
      </c>
      <c r="P319">
        <v>281</v>
      </c>
      <c r="Q319" t="s">
        <v>3449</v>
      </c>
      <c r="R319" t="s">
        <v>3327</v>
      </c>
      <c r="S319">
        <v>-127</v>
      </c>
      <c r="T319">
        <v>43.1</v>
      </c>
      <c r="U319" t="s">
        <v>3327</v>
      </c>
      <c r="W319">
        <v>281</v>
      </c>
      <c r="X319" t="s">
        <v>3436</v>
      </c>
      <c r="Y319" t="s">
        <v>3326</v>
      </c>
      <c r="Z319">
        <v>-1335</v>
      </c>
      <c r="AA319">
        <v>37.39</v>
      </c>
      <c r="AB319" t="s">
        <v>3326</v>
      </c>
    </row>
    <row r="320" spans="1:28">
      <c r="A320">
        <v>282</v>
      </c>
      <c r="B320" t="s">
        <v>3436</v>
      </c>
      <c r="C320" t="s">
        <v>3326</v>
      </c>
      <c r="D320">
        <v>-1336</v>
      </c>
      <c r="F320">
        <v>37.39</v>
      </c>
      <c r="G320" t="s">
        <v>3326</v>
      </c>
      <c r="I320">
        <v>282</v>
      </c>
      <c r="J320" t="s">
        <v>3460</v>
      </c>
      <c r="K320">
        <v>1</v>
      </c>
      <c r="L320">
        <v>301</v>
      </c>
      <c r="M320">
        <v>192.52</v>
      </c>
      <c r="N320" t="s">
        <v>3403</v>
      </c>
      <c r="P320">
        <v>282</v>
      </c>
      <c r="Q320" t="s">
        <v>3448</v>
      </c>
      <c r="R320" t="s">
        <v>3327</v>
      </c>
      <c r="S320">
        <v>-113</v>
      </c>
      <c r="T320">
        <v>56.75</v>
      </c>
      <c r="U320" t="s">
        <v>3327</v>
      </c>
      <c r="W320">
        <v>282</v>
      </c>
      <c r="X320" t="s">
        <v>3436</v>
      </c>
      <c r="Y320" t="s">
        <v>3326</v>
      </c>
      <c r="Z320">
        <v>-1336</v>
      </c>
      <c r="AA320">
        <v>37.39</v>
      </c>
      <c r="AB320" t="s">
        <v>3326</v>
      </c>
    </row>
    <row r="321" spans="1:28">
      <c r="A321">
        <v>283</v>
      </c>
      <c r="B321" t="s">
        <v>3436</v>
      </c>
      <c r="C321" t="s">
        <v>3326</v>
      </c>
      <c r="D321">
        <v>-1337</v>
      </c>
      <c r="F321">
        <v>37.39</v>
      </c>
      <c r="G321" t="s">
        <v>3326</v>
      </c>
      <c r="I321">
        <v>283</v>
      </c>
      <c r="J321" t="s">
        <v>3460</v>
      </c>
      <c r="K321">
        <v>1</v>
      </c>
      <c r="L321">
        <v>401</v>
      </c>
      <c r="M321">
        <v>192.52</v>
      </c>
      <c r="N321" t="s">
        <v>3403</v>
      </c>
      <c r="P321">
        <v>283</v>
      </c>
      <c r="Q321" t="s">
        <v>3448</v>
      </c>
      <c r="R321" t="s">
        <v>3327</v>
      </c>
      <c r="S321">
        <v>-114</v>
      </c>
      <c r="T321">
        <v>41.19</v>
      </c>
      <c r="U321" t="s">
        <v>3327</v>
      </c>
      <c r="W321">
        <v>283</v>
      </c>
      <c r="X321" t="s">
        <v>3436</v>
      </c>
      <c r="Y321" t="s">
        <v>3326</v>
      </c>
      <c r="Z321">
        <v>-1337</v>
      </c>
      <c r="AA321">
        <v>37.39</v>
      </c>
      <c r="AB321" t="s">
        <v>3326</v>
      </c>
    </row>
    <row r="322" spans="1:28">
      <c r="A322">
        <v>284</v>
      </c>
      <c r="B322" t="s">
        <v>3436</v>
      </c>
      <c r="C322" t="s">
        <v>3326</v>
      </c>
      <c r="D322">
        <v>-1338</v>
      </c>
      <c r="F322">
        <v>37.39</v>
      </c>
      <c r="G322" t="s">
        <v>3326</v>
      </c>
      <c r="I322">
        <v>284</v>
      </c>
      <c r="J322" t="s">
        <v>3460</v>
      </c>
      <c r="K322">
        <v>1</v>
      </c>
      <c r="L322">
        <v>402</v>
      </c>
      <c r="M322">
        <v>184.46</v>
      </c>
      <c r="N322" t="s">
        <v>3403</v>
      </c>
      <c r="P322">
        <v>284</v>
      </c>
      <c r="Q322" t="s">
        <v>3448</v>
      </c>
      <c r="R322" t="s">
        <v>3327</v>
      </c>
      <c r="S322">
        <v>-115</v>
      </c>
      <c r="T322">
        <v>41.19</v>
      </c>
      <c r="U322" t="s">
        <v>3327</v>
      </c>
      <c r="W322">
        <v>284</v>
      </c>
      <c r="X322" t="s">
        <v>3436</v>
      </c>
      <c r="Y322" t="s">
        <v>3326</v>
      </c>
      <c r="Z322">
        <v>-1338</v>
      </c>
      <c r="AA322">
        <v>37.39</v>
      </c>
      <c r="AB322" t="s">
        <v>3326</v>
      </c>
    </row>
    <row r="323" spans="1:28">
      <c r="A323">
        <v>285</v>
      </c>
      <c r="B323" t="s">
        <v>3436</v>
      </c>
      <c r="C323" t="s">
        <v>3326</v>
      </c>
      <c r="D323">
        <v>-1339</v>
      </c>
      <c r="F323">
        <v>37.39</v>
      </c>
      <c r="G323" t="s">
        <v>3326</v>
      </c>
      <c r="I323">
        <v>285</v>
      </c>
      <c r="J323" t="s">
        <v>3460</v>
      </c>
      <c r="K323">
        <v>2</v>
      </c>
      <c r="L323">
        <v>101</v>
      </c>
      <c r="M323">
        <v>161.81</v>
      </c>
      <c r="N323" t="s">
        <v>3403</v>
      </c>
      <c r="P323">
        <v>285</v>
      </c>
      <c r="Q323" t="s">
        <v>3448</v>
      </c>
      <c r="R323" t="s">
        <v>3327</v>
      </c>
      <c r="S323">
        <v>-116</v>
      </c>
      <c r="T323">
        <v>56.79</v>
      </c>
      <c r="U323" t="s">
        <v>3327</v>
      </c>
      <c r="W323">
        <v>285</v>
      </c>
      <c r="X323" t="s">
        <v>3436</v>
      </c>
      <c r="Y323" t="s">
        <v>3326</v>
      </c>
      <c r="Z323">
        <v>-1339</v>
      </c>
      <c r="AA323">
        <v>37.39</v>
      </c>
      <c r="AB323" t="s">
        <v>3326</v>
      </c>
    </row>
    <row r="324" spans="1:28">
      <c r="A324">
        <v>286</v>
      </c>
      <c r="B324" t="s">
        <v>3436</v>
      </c>
      <c r="C324" t="s">
        <v>3326</v>
      </c>
      <c r="D324">
        <v>-1340</v>
      </c>
      <c r="F324">
        <v>37.39</v>
      </c>
      <c r="G324" t="s">
        <v>3326</v>
      </c>
      <c r="I324">
        <v>286</v>
      </c>
      <c r="J324" t="s">
        <v>3460</v>
      </c>
      <c r="K324">
        <v>2</v>
      </c>
      <c r="L324">
        <v>102</v>
      </c>
      <c r="M324">
        <v>184.92</v>
      </c>
      <c r="N324" t="s">
        <v>3403</v>
      </c>
      <c r="P324">
        <v>286</v>
      </c>
      <c r="Q324" t="s">
        <v>3448</v>
      </c>
      <c r="R324" t="s">
        <v>3327</v>
      </c>
      <c r="S324">
        <v>-117</v>
      </c>
      <c r="T324">
        <v>23.72</v>
      </c>
      <c r="U324" t="s">
        <v>3327</v>
      </c>
      <c r="W324">
        <v>286</v>
      </c>
      <c r="X324" t="s">
        <v>3436</v>
      </c>
      <c r="Y324" t="s">
        <v>3326</v>
      </c>
      <c r="Z324">
        <v>-1340</v>
      </c>
      <c r="AA324">
        <v>37.39</v>
      </c>
      <c r="AB324" t="s">
        <v>3326</v>
      </c>
    </row>
    <row r="325" spans="1:28">
      <c r="A325">
        <v>287</v>
      </c>
      <c r="B325" t="s">
        <v>3436</v>
      </c>
      <c r="C325" t="s">
        <v>3326</v>
      </c>
      <c r="D325">
        <v>-1341</v>
      </c>
      <c r="F325">
        <v>37.39</v>
      </c>
      <c r="G325" t="s">
        <v>3326</v>
      </c>
      <c r="I325">
        <v>287</v>
      </c>
      <c r="J325" t="s">
        <v>3460</v>
      </c>
      <c r="K325">
        <v>2</v>
      </c>
      <c r="L325">
        <v>202</v>
      </c>
      <c r="M325">
        <v>184.96</v>
      </c>
      <c r="N325" t="s">
        <v>3403</v>
      </c>
      <c r="P325">
        <v>287</v>
      </c>
      <c r="Q325" t="s">
        <v>3448</v>
      </c>
      <c r="R325" t="s">
        <v>3327</v>
      </c>
      <c r="S325">
        <v>-118</v>
      </c>
      <c r="T325">
        <v>23.68</v>
      </c>
      <c r="U325" t="s">
        <v>3327</v>
      </c>
      <c r="W325">
        <v>287</v>
      </c>
      <c r="X325" t="s">
        <v>3436</v>
      </c>
      <c r="Y325" t="s">
        <v>3326</v>
      </c>
      <c r="Z325">
        <v>-1341</v>
      </c>
      <c r="AA325">
        <v>37.39</v>
      </c>
      <c r="AB325" t="s">
        <v>3326</v>
      </c>
    </row>
    <row r="326" spans="1:28">
      <c r="A326">
        <v>288</v>
      </c>
      <c r="B326" t="s">
        <v>3436</v>
      </c>
      <c r="C326" t="s">
        <v>3326</v>
      </c>
      <c r="D326">
        <v>-1342</v>
      </c>
      <c r="F326">
        <v>37.39</v>
      </c>
      <c r="G326" t="s">
        <v>3326</v>
      </c>
      <c r="I326">
        <v>288</v>
      </c>
      <c r="J326" t="s">
        <v>3460</v>
      </c>
      <c r="K326">
        <v>2</v>
      </c>
      <c r="L326">
        <v>301</v>
      </c>
      <c r="M326">
        <v>184.46</v>
      </c>
      <c r="N326" t="s">
        <v>3403</v>
      </c>
      <c r="P326">
        <v>288</v>
      </c>
      <c r="Q326" t="s">
        <v>3448</v>
      </c>
      <c r="R326" t="s">
        <v>3327</v>
      </c>
      <c r="S326">
        <v>-119</v>
      </c>
      <c r="T326">
        <v>49.71</v>
      </c>
      <c r="U326" t="s">
        <v>3327</v>
      </c>
      <c r="W326">
        <v>288</v>
      </c>
      <c r="X326" t="s">
        <v>3436</v>
      </c>
      <c r="Y326" t="s">
        <v>3326</v>
      </c>
      <c r="Z326">
        <v>-1342</v>
      </c>
      <c r="AA326">
        <v>37.39</v>
      </c>
      <c r="AB326" t="s">
        <v>3326</v>
      </c>
    </row>
    <row r="327" spans="1:28">
      <c r="A327">
        <v>289</v>
      </c>
      <c r="B327" t="s">
        <v>3436</v>
      </c>
      <c r="C327" t="s">
        <v>3326</v>
      </c>
      <c r="D327">
        <v>-1343</v>
      </c>
      <c r="F327">
        <v>37.39</v>
      </c>
      <c r="G327" t="s">
        <v>3326</v>
      </c>
      <c r="I327">
        <v>289</v>
      </c>
      <c r="J327" t="s">
        <v>3460</v>
      </c>
      <c r="K327">
        <v>2</v>
      </c>
      <c r="L327">
        <v>401</v>
      </c>
      <c r="M327">
        <v>184.46</v>
      </c>
      <c r="N327" t="s">
        <v>3403</v>
      </c>
      <c r="P327">
        <v>289</v>
      </c>
      <c r="Q327" t="s">
        <v>3448</v>
      </c>
      <c r="R327" t="s">
        <v>3327</v>
      </c>
      <c r="S327">
        <v>-120</v>
      </c>
      <c r="T327">
        <v>48.07</v>
      </c>
      <c r="U327" t="s">
        <v>3327</v>
      </c>
      <c r="W327">
        <v>289</v>
      </c>
      <c r="X327" t="s">
        <v>3436</v>
      </c>
      <c r="Y327" t="s">
        <v>3326</v>
      </c>
      <c r="Z327">
        <v>-1343</v>
      </c>
      <c r="AA327">
        <v>37.39</v>
      </c>
      <c r="AB327" t="s">
        <v>3326</v>
      </c>
    </row>
    <row r="328" spans="1:28">
      <c r="A328">
        <v>290</v>
      </c>
      <c r="B328" t="s">
        <v>3436</v>
      </c>
      <c r="C328" t="s">
        <v>3326</v>
      </c>
      <c r="D328">
        <v>-1344</v>
      </c>
      <c r="F328">
        <v>37.39</v>
      </c>
      <c r="G328" t="s">
        <v>3326</v>
      </c>
      <c r="I328">
        <v>290</v>
      </c>
      <c r="J328" t="s">
        <v>3460</v>
      </c>
      <c r="K328">
        <v>2</v>
      </c>
      <c r="L328">
        <v>402</v>
      </c>
      <c r="M328">
        <v>184.96</v>
      </c>
      <c r="N328" t="s">
        <v>3403</v>
      </c>
      <c r="P328">
        <v>290</v>
      </c>
      <c r="Q328" t="s">
        <v>3449</v>
      </c>
      <c r="R328" t="s">
        <v>3327</v>
      </c>
      <c r="S328">
        <v>-202</v>
      </c>
      <c r="T328">
        <v>19.920000000000002</v>
      </c>
      <c r="U328" t="s">
        <v>3327</v>
      </c>
      <c r="W328">
        <v>290</v>
      </c>
      <c r="X328" t="s">
        <v>3436</v>
      </c>
      <c r="Y328" t="s">
        <v>3326</v>
      </c>
      <c r="Z328">
        <v>-1344</v>
      </c>
      <c r="AA328">
        <v>37.39</v>
      </c>
      <c r="AB328" t="s">
        <v>3326</v>
      </c>
    </row>
    <row r="329" spans="1:28">
      <c r="A329">
        <v>291</v>
      </c>
      <c r="B329" t="s">
        <v>3436</v>
      </c>
      <c r="C329" t="s">
        <v>3326</v>
      </c>
      <c r="D329">
        <v>-1345</v>
      </c>
      <c r="F329">
        <v>37.39</v>
      </c>
      <c r="G329" t="s">
        <v>3326</v>
      </c>
      <c r="M329">
        <f>SUM(M39:M328)</f>
        <v>62293.629999999932</v>
      </c>
      <c r="P329">
        <v>291</v>
      </c>
      <c r="Q329" t="s">
        <v>3449</v>
      </c>
      <c r="R329" t="s">
        <v>3327</v>
      </c>
      <c r="S329">
        <v>-203</v>
      </c>
      <c r="T329">
        <v>19.920000000000002</v>
      </c>
      <c r="U329" t="s">
        <v>3327</v>
      </c>
      <c r="W329">
        <v>291</v>
      </c>
      <c r="X329" t="s">
        <v>3436</v>
      </c>
      <c r="Y329" t="s">
        <v>3326</v>
      </c>
      <c r="Z329">
        <v>-1345</v>
      </c>
      <c r="AA329">
        <v>37.39</v>
      </c>
      <c r="AB329" t="s">
        <v>3326</v>
      </c>
    </row>
    <row r="330" spans="1:28">
      <c r="A330">
        <v>292</v>
      </c>
      <c r="B330" t="s">
        <v>3436</v>
      </c>
      <c r="C330" t="s">
        <v>3326</v>
      </c>
      <c r="D330">
        <v>-1346</v>
      </c>
      <c r="F330">
        <v>37.39</v>
      </c>
      <c r="G330" t="s">
        <v>3326</v>
      </c>
      <c r="P330">
        <v>292</v>
      </c>
      <c r="Q330" t="s">
        <v>3449</v>
      </c>
      <c r="R330" t="s">
        <v>3327</v>
      </c>
      <c r="S330">
        <v>-204</v>
      </c>
      <c r="T330">
        <v>19.920000000000002</v>
      </c>
      <c r="U330" t="s">
        <v>3327</v>
      </c>
      <c r="W330">
        <v>292</v>
      </c>
      <c r="X330" t="s">
        <v>3436</v>
      </c>
      <c r="Y330" t="s">
        <v>3326</v>
      </c>
      <c r="Z330">
        <v>-1346</v>
      </c>
      <c r="AA330">
        <v>37.39</v>
      </c>
      <c r="AB330" t="s">
        <v>3326</v>
      </c>
    </row>
    <row r="331" spans="1:28">
      <c r="A331">
        <v>293</v>
      </c>
      <c r="B331" t="s">
        <v>3436</v>
      </c>
      <c r="C331" t="s">
        <v>3326</v>
      </c>
      <c r="D331">
        <v>-1347</v>
      </c>
      <c r="F331">
        <v>37.39</v>
      </c>
      <c r="G331" t="s">
        <v>3326</v>
      </c>
      <c r="P331">
        <v>293</v>
      </c>
      <c r="Q331" t="s">
        <v>3449</v>
      </c>
      <c r="R331" t="s">
        <v>3327</v>
      </c>
      <c r="S331">
        <v>-205</v>
      </c>
      <c r="T331">
        <v>19.920000000000002</v>
      </c>
      <c r="U331" t="s">
        <v>3327</v>
      </c>
      <c r="W331">
        <v>293</v>
      </c>
      <c r="X331" t="s">
        <v>3436</v>
      </c>
      <c r="Y331" t="s">
        <v>3326</v>
      </c>
      <c r="Z331">
        <v>-1347</v>
      </c>
      <c r="AA331">
        <v>37.39</v>
      </c>
      <c r="AB331" t="s">
        <v>3326</v>
      </c>
    </row>
    <row r="332" spans="1:28">
      <c r="A332">
        <v>294</v>
      </c>
      <c r="B332" t="s">
        <v>3436</v>
      </c>
      <c r="C332" t="s">
        <v>3326</v>
      </c>
      <c r="D332">
        <v>-1348</v>
      </c>
      <c r="F332">
        <v>37.39</v>
      </c>
      <c r="G332" t="s">
        <v>3326</v>
      </c>
      <c r="P332">
        <v>294</v>
      </c>
      <c r="Q332" t="s">
        <v>3449</v>
      </c>
      <c r="R332" t="s">
        <v>3327</v>
      </c>
      <c r="S332">
        <v>-206</v>
      </c>
      <c r="T332">
        <v>19.920000000000002</v>
      </c>
      <c r="U332" t="s">
        <v>3327</v>
      </c>
      <c r="W332">
        <v>294</v>
      </c>
      <c r="X332" t="s">
        <v>3436</v>
      </c>
      <c r="Y332" t="s">
        <v>3326</v>
      </c>
      <c r="Z332">
        <v>-1348</v>
      </c>
      <c r="AA332">
        <v>37.39</v>
      </c>
      <c r="AB332" t="s">
        <v>3326</v>
      </c>
    </row>
    <row r="333" spans="1:28">
      <c r="A333">
        <v>295</v>
      </c>
      <c r="B333" t="s">
        <v>3436</v>
      </c>
      <c r="C333" t="s">
        <v>3326</v>
      </c>
      <c r="D333">
        <v>-1349</v>
      </c>
      <c r="F333">
        <v>37.39</v>
      </c>
      <c r="G333" t="s">
        <v>3326</v>
      </c>
      <c r="P333">
        <v>295</v>
      </c>
      <c r="Q333" t="s">
        <v>3448</v>
      </c>
      <c r="R333" t="s">
        <v>3327</v>
      </c>
      <c r="S333">
        <v>-121</v>
      </c>
      <c r="T333">
        <v>22.85</v>
      </c>
      <c r="U333" t="s">
        <v>3327</v>
      </c>
      <c r="W333">
        <v>295</v>
      </c>
      <c r="X333" t="s">
        <v>3436</v>
      </c>
      <c r="Y333" t="s">
        <v>3326</v>
      </c>
      <c r="Z333">
        <v>-1349</v>
      </c>
      <c r="AA333">
        <v>37.39</v>
      </c>
      <c r="AB333" t="s">
        <v>3326</v>
      </c>
    </row>
    <row r="334" spans="1:28">
      <c r="A334">
        <v>296</v>
      </c>
      <c r="B334" t="s">
        <v>3436</v>
      </c>
      <c r="C334" t="s">
        <v>3326</v>
      </c>
      <c r="D334">
        <v>-1350</v>
      </c>
      <c r="F334">
        <v>37.39</v>
      </c>
      <c r="G334" t="s">
        <v>3326</v>
      </c>
      <c r="P334">
        <v>296</v>
      </c>
      <c r="Q334" t="s">
        <v>3448</v>
      </c>
      <c r="R334" t="s">
        <v>3327</v>
      </c>
      <c r="S334">
        <v>-122</v>
      </c>
      <c r="T334">
        <v>28.04</v>
      </c>
      <c r="U334" t="s">
        <v>3327</v>
      </c>
      <c r="W334">
        <v>296</v>
      </c>
      <c r="X334" t="s">
        <v>3436</v>
      </c>
      <c r="Y334" t="s">
        <v>3326</v>
      </c>
      <c r="Z334">
        <v>-1350</v>
      </c>
      <c r="AA334">
        <v>37.39</v>
      </c>
      <c r="AB334" t="s">
        <v>3326</v>
      </c>
    </row>
    <row r="335" spans="1:28">
      <c r="A335">
        <v>297</v>
      </c>
      <c r="B335" t="s">
        <v>3436</v>
      </c>
      <c r="C335" t="s">
        <v>3326</v>
      </c>
      <c r="D335">
        <v>-1351</v>
      </c>
      <c r="F335">
        <v>37.39</v>
      </c>
      <c r="G335" t="s">
        <v>3326</v>
      </c>
      <c r="P335">
        <v>297</v>
      </c>
      <c r="Q335" t="s">
        <v>3448</v>
      </c>
      <c r="R335" t="s">
        <v>3327</v>
      </c>
      <c r="S335">
        <v>-123</v>
      </c>
      <c r="T335">
        <v>27.68</v>
      </c>
      <c r="U335" t="s">
        <v>3327</v>
      </c>
      <c r="W335">
        <v>297</v>
      </c>
      <c r="X335" t="s">
        <v>3436</v>
      </c>
      <c r="Y335" t="s">
        <v>3326</v>
      </c>
      <c r="Z335">
        <v>-1351</v>
      </c>
      <c r="AA335">
        <v>37.39</v>
      </c>
      <c r="AB335" t="s">
        <v>3326</v>
      </c>
    </row>
    <row r="336" spans="1:28">
      <c r="A336">
        <v>298</v>
      </c>
      <c r="B336" t="s">
        <v>3436</v>
      </c>
      <c r="C336" t="s">
        <v>3326</v>
      </c>
      <c r="D336">
        <v>-1352</v>
      </c>
      <c r="F336">
        <v>37.39</v>
      </c>
      <c r="G336" t="s">
        <v>3326</v>
      </c>
      <c r="P336">
        <v>298</v>
      </c>
      <c r="Q336" t="s">
        <v>3448</v>
      </c>
      <c r="R336" t="s">
        <v>3327</v>
      </c>
      <c r="S336">
        <v>-124</v>
      </c>
      <c r="T336">
        <v>19.190000000000001</v>
      </c>
      <c r="U336" t="s">
        <v>3327</v>
      </c>
      <c r="W336">
        <v>298</v>
      </c>
      <c r="X336" t="s">
        <v>3436</v>
      </c>
      <c r="Y336" t="s">
        <v>3326</v>
      </c>
      <c r="Z336">
        <v>-1352</v>
      </c>
      <c r="AA336">
        <v>37.39</v>
      </c>
      <c r="AB336" t="s">
        <v>3326</v>
      </c>
    </row>
    <row r="337" spans="1:28">
      <c r="A337">
        <v>299</v>
      </c>
      <c r="B337" t="s">
        <v>3436</v>
      </c>
      <c r="C337" t="s">
        <v>3326</v>
      </c>
      <c r="D337">
        <v>-1353</v>
      </c>
      <c r="F337">
        <v>37.39</v>
      </c>
      <c r="G337" t="s">
        <v>3326</v>
      </c>
      <c r="P337">
        <v>299</v>
      </c>
      <c r="Q337" t="s">
        <v>3448</v>
      </c>
      <c r="R337" t="s">
        <v>3327</v>
      </c>
      <c r="S337">
        <v>-125</v>
      </c>
      <c r="T337">
        <v>19.190000000000001</v>
      </c>
      <c r="U337" t="s">
        <v>3327</v>
      </c>
      <c r="W337">
        <v>299</v>
      </c>
      <c r="X337" t="s">
        <v>3436</v>
      </c>
      <c r="Y337" t="s">
        <v>3326</v>
      </c>
      <c r="Z337">
        <v>-1353</v>
      </c>
      <c r="AA337">
        <v>37.39</v>
      </c>
      <c r="AB337" t="s">
        <v>3326</v>
      </c>
    </row>
    <row r="338" spans="1:28">
      <c r="A338">
        <v>300</v>
      </c>
      <c r="B338" t="s">
        <v>3436</v>
      </c>
      <c r="C338" t="s">
        <v>3326</v>
      </c>
      <c r="D338">
        <v>-1354</v>
      </c>
      <c r="F338">
        <v>37.39</v>
      </c>
      <c r="G338" t="s">
        <v>3326</v>
      </c>
      <c r="P338">
        <v>300</v>
      </c>
      <c r="Q338" t="s">
        <v>3448</v>
      </c>
      <c r="R338" t="s">
        <v>3327</v>
      </c>
      <c r="S338">
        <v>-126</v>
      </c>
      <c r="T338">
        <v>27.85</v>
      </c>
      <c r="U338" t="s">
        <v>3327</v>
      </c>
      <c r="W338">
        <v>300</v>
      </c>
      <c r="X338" t="s">
        <v>3436</v>
      </c>
      <c r="Y338" t="s">
        <v>3326</v>
      </c>
      <c r="Z338">
        <v>-1354</v>
      </c>
      <c r="AA338">
        <v>37.39</v>
      </c>
      <c r="AB338" t="s">
        <v>3326</v>
      </c>
    </row>
    <row r="339" spans="1:28">
      <c r="A339">
        <v>301</v>
      </c>
      <c r="B339" t="s">
        <v>3436</v>
      </c>
      <c r="C339" t="s">
        <v>3326</v>
      </c>
      <c r="D339">
        <v>-1355</v>
      </c>
      <c r="F339">
        <v>37.39</v>
      </c>
      <c r="G339" t="s">
        <v>3326</v>
      </c>
      <c r="P339">
        <v>301</v>
      </c>
      <c r="Q339" t="s">
        <v>3448</v>
      </c>
      <c r="R339" t="s">
        <v>3327</v>
      </c>
      <c r="S339">
        <v>-127</v>
      </c>
      <c r="T339">
        <v>27.68</v>
      </c>
      <c r="U339" t="s">
        <v>3327</v>
      </c>
      <c r="W339">
        <v>301</v>
      </c>
      <c r="X339" t="s">
        <v>3436</v>
      </c>
      <c r="Y339" t="s">
        <v>3326</v>
      </c>
      <c r="Z339">
        <v>-1355</v>
      </c>
      <c r="AA339">
        <v>37.39</v>
      </c>
      <c r="AB339" t="s">
        <v>3326</v>
      </c>
    </row>
    <row r="340" spans="1:28">
      <c r="A340">
        <v>302</v>
      </c>
      <c r="B340" t="s">
        <v>3436</v>
      </c>
      <c r="C340" t="s">
        <v>3326</v>
      </c>
      <c r="D340">
        <v>-1356</v>
      </c>
      <c r="F340">
        <v>37.39</v>
      </c>
      <c r="G340" t="s">
        <v>3326</v>
      </c>
      <c r="P340">
        <v>302</v>
      </c>
      <c r="Q340" t="s">
        <v>3448</v>
      </c>
      <c r="R340" t="s">
        <v>3327</v>
      </c>
      <c r="S340">
        <v>-128</v>
      </c>
      <c r="T340">
        <v>19.829999999999998</v>
      </c>
      <c r="U340" t="s">
        <v>3327</v>
      </c>
      <c r="W340">
        <v>302</v>
      </c>
      <c r="X340" t="s">
        <v>3436</v>
      </c>
      <c r="Y340" t="s">
        <v>3326</v>
      </c>
      <c r="Z340">
        <v>-1356</v>
      </c>
      <c r="AA340">
        <v>37.39</v>
      </c>
      <c r="AB340" t="s">
        <v>3326</v>
      </c>
    </row>
    <row r="341" spans="1:28">
      <c r="A341">
        <v>303</v>
      </c>
      <c r="B341" t="s">
        <v>3436</v>
      </c>
      <c r="C341" t="s">
        <v>3326</v>
      </c>
      <c r="D341">
        <v>-1360</v>
      </c>
      <c r="F341">
        <v>37.39</v>
      </c>
      <c r="G341" t="s">
        <v>3326</v>
      </c>
      <c r="P341">
        <v>303</v>
      </c>
      <c r="Q341" t="s">
        <v>3448</v>
      </c>
      <c r="R341" t="s">
        <v>3327</v>
      </c>
      <c r="S341">
        <v>-129</v>
      </c>
      <c r="T341">
        <v>19.829999999999998</v>
      </c>
      <c r="U341" t="s">
        <v>3327</v>
      </c>
      <c r="W341">
        <v>303</v>
      </c>
      <c r="X341" t="s">
        <v>3436</v>
      </c>
      <c r="Y341" t="s">
        <v>3326</v>
      </c>
      <c r="Z341">
        <v>-1360</v>
      </c>
      <c r="AA341">
        <v>37.39</v>
      </c>
      <c r="AB341" t="s">
        <v>3326</v>
      </c>
    </row>
    <row r="342" spans="1:28">
      <c r="A342">
        <v>304</v>
      </c>
      <c r="B342" t="s">
        <v>3436</v>
      </c>
      <c r="C342" t="s">
        <v>3326</v>
      </c>
      <c r="D342">
        <v>-1361</v>
      </c>
      <c r="F342">
        <v>37.39</v>
      </c>
      <c r="G342" t="s">
        <v>3326</v>
      </c>
      <c r="P342">
        <v>304</v>
      </c>
      <c r="Q342" t="s">
        <v>3448</v>
      </c>
      <c r="R342" t="s">
        <v>3327</v>
      </c>
      <c r="S342">
        <v>-130</v>
      </c>
      <c r="T342">
        <v>27.68</v>
      </c>
      <c r="U342" t="s">
        <v>3327</v>
      </c>
      <c r="W342">
        <v>304</v>
      </c>
      <c r="X342" t="s">
        <v>3436</v>
      </c>
      <c r="Y342" t="s">
        <v>3326</v>
      </c>
      <c r="Z342">
        <v>-1361</v>
      </c>
      <c r="AA342">
        <v>37.39</v>
      </c>
      <c r="AB342" t="s">
        <v>3326</v>
      </c>
    </row>
    <row r="343" spans="1:28">
      <c r="A343">
        <v>305</v>
      </c>
      <c r="B343" t="s">
        <v>3436</v>
      </c>
      <c r="C343" t="s">
        <v>3326</v>
      </c>
      <c r="D343">
        <v>-1362</v>
      </c>
      <c r="F343">
        <v>37.39</v>
      </c>
      <c r="G343" t="s">
        <v>3326</v>
      </c>
      <c r="P343">
        <v>305</v>
      </c>
      <c r="Q343" t="s">
        <v>3448</v>
      </c>
      <c r="R343" t="s">
        <v>3327</v>
      </c>
      <c r="S343">
        <v>-201</v>
      </c>
      <c r="T343">
        <v>19.170000000000002</v>
      </c>
      <c r="U343" t="s">
        <v>3327</v>
      </c>
      <c r="W343">
        <v>305</v>
      </c>
      <c r="X343" t="s">
        <v>3436</v>
      </c>
      <c r="Y343" t="s">
        <v>3326</v>
      </c>
      <c r="Z343">
        <v>-1362</v>
      </c>
      <c r="AA343">
        <v>37.39</v>
      </c>
      <c r="AB343" t="s">
        <v>3326</v>
      </c>
    </row>
    <row r="344" spans="1:28">
      <c r="A344">
        <v>306</v>
      </c>
      <c r="B344" t="s">
        <v>3436</v>
      </c>
      <c r="C344" t="s">
        <v>3326</v>
      </c>
      <c r="D344">
        <v>-1364</v>
      </c>
      <c r="F344">
        <v>37.39</v>
      </c>
      <c r="G344" t="s">
        <v>3326</v>
      </c>
      <c r="P344">
        <v>306</v>
      </c>
      <c r="Q344" t="s">
        <v>3448</v>
      </c>
      <c r="R344" t="s">
        <v>3327</v>
      </c>
      <c r="S344">
        <v>-202</v>
      </c>
      <c r="T344">
        <v>16.38</v>
      </c>
      <c r="U344" t="s">
        <v>3327</v>
      </c>
      <c r="W344">
        <v>306</v>
      </c>
      <c r="X344" t="s">
        <v>3436</v>
      </c>
      <c r="Y344" t="s">
        <v>3326</v>
      </c>
      <c r="Z344">
        <v>-1364</v>
      </c>
      <c r="AA344">
        <v>37.39</v>
      </c>
      <c r="AB344" t="s">
        <v>3326</v>
      </c>
    </row>
    <row r="345" spans="1:28">
      <c r="A345">
        <v>307</v>
      </c>
      <c r="B345" t="s">
        <v>3436</v>
      </c>
      <c r="C345" t="s">
        <v>3326</v>
      </c>
      <c r="D345">
        <v>-1365</v>
      </c>
      <c r="F345">
        <v>37.39</v>
      </c>
      <c r="G345" t="s">
        <v>3326</v>
      </c>
      <c r="P345">
        <v>307</v>
      </c>
      <c r="Q345" t="s">
        <v>3448</v>
      </c>
      <c r="R345" t="s">
        <v>3327</v>
      </c>
      <c r="S345">
        <v>-203</v>
      </c>
      <c r="T345">
        <v>12.42</v>
      </c>
      <c r="U345" t="s">
        <v>3327</v>
      </c>
      <c r="W345">
        <v>307</v>
      </c>
      <c r="X345" t="s">
        <v>3436</v>
      </c>
      <c r="Y345" t="s">
        <v>3326</v>
      </c>
      <c r="Z345">
        <v>-1365</v>
      </c>
      <c r="AA345">
        <v>37.39</v>
      </c>
      <c r="AB345" t="s">
        <v>3326</v>
      </c>
    </row>
    <row r="346" spans="1:28">
      <c r="A346">
        <v>308</v>
      </c>
      <c r="B346" t="s">
        <v>3436</v>
      </c>
      <c r="C346" t="s">
        <v>3326</v>
      </c>
      <c r="D346">
        <v>-1366</v>
      </c>
      <c r="F346">
        <v>37.39</v>
      </c>
      <c r="G346" t="s">
        <v>3326</v>
      </c>
      <c r="P346">
        <v>308</v>
      </c>
      <c r="Q346" t="s">
        <v>3448</v>
      </c>
      <c r="R346" t="s">
        <v>3327</v>
      </c>
      <c r="S346">
        <v>-204</v>
      </c>
      <c r="T346">
        <v>16.38</v>
      </c>
      <c r="U346" t="s">
        <v>3327</v>
      </c>
      <c r="W346">
        <v>308</v>
      </c>
      <c r="X346" t="s">
        <v>3436</v>
      </c>
      <c r="Y346" t="s">
        <v>3326</v>
      </c>
      <c r="Z346">
        <v>-1366</v>
      </c>
      <c r="AA346">
        <v>37.39</v>
      </c>
      <c r="AB346" t="s">
        <v>3326</v>
      </c>
    </row>
    <row r="347" spans="1:28">
      <c r="A347">
        <v>309</v>
      </c>
      <c r="B347" t="s">
        <v>3436</v>
      </c>
      <c r="C347" t="s">
        <v>3326</v>
      </c>
      <c r="D347">
        <v>-1378</v>
      </c>
      <c r="F347">
        <v>37.39</v>
      </c>
      <c r="G347" t="s">
        <v>3326</v>
      </c>
      <c r="P347">
        <v>309</v>
      </c>
      <c r="Q347" t="s">
        <v>3448</v>
      </c>
      <c r="R347" t="s">
        <v>3327</v>
      </c>
      <c r="S347">
        <v>-205</v>
      </c>
      <c r="T347">
        <v>16.38</v>
      </c>
      <c r="U347" t="s">
        <v>3327</v>
      </c>
      <c r="W347">
        <v>309</v>
      </c>
      <c r="X347" t="s">
        <v>3436</v>
      </c>
      <c r="Y347" t="s">
        <v>3326</v>
      </c>
      <c r="Z347">
        <v>-1378</v>
      </c>
      <c r="AA347">
        <v>37.39</v>
      </c>
      <c r="AB347" t="s">
        <v>3326</v>
      </c>
    </row>
    <row r="348" spans="1:28">
      <c r="A348">
        <v>310</v>
      </c>
      <c r="B348" t="s">
        <v>3436</v>
      </c>
      <c r="C348" t="s">
        <v>3326</v>
      </c>
      <c r="D348">
        <v>-1379</v>
      </c>
      <c r="F348">
        <v>37.39</v>
      </c>
      <c r="G348" t="s">
        <v>3326</v>
      </c>
      <c r="P348">
        <v>310</v>
      </c>
      <c r="Q348" t="s">
        <v>3448</v>
      </c>
      <c r="R348" t="s">
        <v>3327</v>
      </c>
      <c r="S348">
        <v>-206</v>
      </c>
      <c r="T348">
        <v>17.059999999999999</v>
      </c>
      <c r="U348" t="s">
        <v>3327</v>
      </c>
      <c r="W348">
        <v>310</v>
      </c>
      <c r="X348" t="s">
        <v>3436</v>
      </c>
      <c r="Y348" t="s">
        <v>3326</v>
      </c>
      <c r="Z348">
        <v>-1379</v>
      </c>
      <c r="AA348">
        <v>37.39</v>
      </c>
      <c r="AB348" t="s">
        <v>3326</v>
      </c>
    </row>
    <row r="349" spans="1:28">
      <c r="A349">
        <v>311</v>
      </c>
      <c r="B349" t="s">
        <v>3436</v>
      </c>
      <c r="C349" t="s">
        <v>3326</v>
      </c>
      <c r="D349">
        <v>-1380</v>
      </c>
      <c r="F349">
        <v>37.39</v>
      </c>
      <c r="G349" t="s">
        <v>3326</v>
      </c>
      <c r="P349">
        <v>311</v>
      </c>
      <c r="Q349" t="s">
        <v>3450</v>
      </c>
      <c r="R349" t="s">
        <v>3327</v>
      </c>
      <c r="S349">
        <v>-101</v>
      </c>
      <c r="T349">
        <v>15.2</v>
      </c>
      <c r="U349" t="s">
        <v>3327</v>
      </c>
      <c r="W349">
        <v>311</v>
      </c>
      <c r="X349" t="s">
        <v>3436</v>
      </c>
      <c r="Y349" t="s">
        <v>3326</v>
      </c>
      <c r="Z349">
        <v>-1380</v>
      </c>
      <c r="AA349">
        <v>37.39</v>
      </c>
      <c r="AB349" t="s">
        <v>3326</v>
      </c>
    </row>
    <row r="350" spans="1:28">
      <c r="A350">
        <v>312</v>
      </c>
      <c r="B350" t="s">
        <v>3436</v>
      </c>
      <c r="C350" t="s">
        <v>3326</v>
      </c>
      <c r="D350">
        <v>-1381</v>
      </c>
      <c r="F350">
        <v>37.39</v>
      </c>
      <c r="G350" t="s">
        <v>3326</v>
      </c>
      <c r="P350">
        <v>312</v>
      </c>
      <c r="Q350" t="s">
        <v>3450</v>
      </c>
      <c r="R350" t="s">
        <v>3327</v>
      </c>
      <c r="S350">
        <v>-102</v>
      </c>
      <c r="T350">
        <v>54.63</v>
      </c>
      <c r="U350" t="s">
        <v>3327</v>
      </c>
      <c r="W350">
        <v>312</v>
      </c>
      <c r="X350" t="s">
        <v>3436</v>
      </c>
      <c r="Y350" t="s">
        <v>3326</v>
      </c>
      <c r="Z350">
        <v>-1381</v>
      </c>
      <c r="AA350">
        <v>37.39</v>
      </c>
      <c r="AB350" t="s">
        <v>3326</v>
      </c>
    </row>
    <row r="351" spans="1:28">
      <c r="A351">
        <v>313</v>
      </c>
      <c r="B351" t="s">
        <v>3436</v>
      </c>
      <c r="C351" t="s">
        <v>3326</v>
      </c>
      <c r="D351">
        <v>-1382</v>
      </c>
      <c r="F351">
        <v>37.39</v>
      </c>
      <c r="G351" t="s">
        <v>3326</v>
      </c>
      <c r="P351">
        <v>313</v>
      </c>
      <c r="Q351" t="s">
        <v>3450</v>
      </c>
      <c r="R351" t="s">
        <v>3327</v>
      </c>
      <c r="S351">
        <v>-103</v>
      </c>
      <c r="T351">
        <v>47.35</v>
      </c>
      <c r="U351" t="s">
        <v>3327</v>
      </c>
      <c r="W351">
        <v>313</v>
      </c>
      <c r="X351" t="s">
        <v>3436</v>
      </c>
      <c r="Y351" t="s">
        <v>3326</v>
      </c>
      <c r="Z351">
        <v>-1382</v>
      </c>
      <c r="AA351">
        <v>37.39</v>
      </c>
      <c r="AB351" t="s">
        <v>3326</v>
      </c>
    </row>
    <row r="352" spans="1:28">
      <c r="A352">
        <v>314</v>
      </c>
      <c r="B352" t="s">
        <v>3436</v>
      </c>
      <c r="C352" t="s">
        <v>3326</v>
      </c>
      <c r="D352">
        <v>-1383</v>
      </c>
      <c r="F352">
        <v>37.39</v>
      </c>
      <c r="G352" t="s">
        <v>3326</v>
      </c>
      <c r="P352">
        <v>314</v>
      </c>
      <c r="Q352" t="s">
        <v>3450</v>
      </c>
      <c r="R352" t="s">
        <v>3327</v>
      </c>
      <c r="S352">
        <v>-104</v>
      </c>
      <c r="T352">
        <v>62.57</v>
      </c>
      <c r="U352" t="s">
        <v>3327</v>
      </c>
      <c r="W352">
        <v>314</v>
      </c>
      <c r="X352" t="s">
        <v>3436</v>
      </c>
      <c r="Y352" t="s">
        <v>3326</v>
      </c>
      <c r="Z352">
        <v>-1383</v>
      </c>
      <c r="AA352">
        <v>37.39</v>
      </c>
      <c r="AB352" t="s">
        <v>3326</v>
      </c>
    </row>
    <row r="353" spans="1:28">
      <c r="A353">
        <v>315</v>
      </c>
      <c r="B353" t="s">
        <v>3436</v>
      </c>
      <c r="C353" t="s">
        <v>3326</v>
      </c>
      <c r="D353">
        <v>-1384</v>
      </c>
      <c r="F353">
        <v>37.39</v>
      </c>
      <c r="G353" t="s">
        <v>3326</v>
      </c>
      <c r="P353">
        <v>315</v>
      </c>
      <c r="Q353" t="s">
        <v>3450</v>
      </c>
      <c r="R353" t="s">
        <v>3327</v>
      </c>
      <c r="S353">
        <v>-105</v>
      </c>
      <c r="T353">
        <v>61.61</v>
      </c>
      <c r="U353" t="s">
        <v>3327</v>
      </c>
      <c r="W353">
        <v>315</v>
      </c>
      <c r="X353" t="s">
        <v>3436</v>
      </c>
      <c r="Y353" t="s">
        <v>3326</v>
      </c>
      <c r="Z353">
        <v>-1384</v>
      </c>
      <c r="AA353">
        <v>37.39</v>
      </c>
      <c r="AB353" t="s">
        <v>3326</v>
      </c>
    </row>
    <row r="354" spans="1:28">
      <c r="A354">
        <v>316</v>
      </c>
      <c r="B354" t="s">
        <v>3436</v>
      </c>
      <c r="C354" t="s">
        <v>3326</v>
      </c>
      <c r="D354">
        <v>-1385</v>
      </c>
      <c r="F354">
        <v>37.39</v>
      </c>
      <c r="G354" t="s">
        <v>3326</v>
      </c>
      <c r="P354">
        <v>316</v>
      </c>
      <c r="Q354" t="s">
        <v>3450</v>
      </c>
      <c r="R354" t="s">
        <v>3327</v>
      </c>
      <c r="S354">
        <v>-106</v>
      </c>
      <c r="T354">
        <v>61.61</v>
      </c>
      <c r="U354" t="s">
        <v>3327</v>
      </c>
      <c r="W354">
        <v>316</v>
      </c>
      <c r="X354" t="s">
        <v>3436</v>
      </c>
      <c r="Y354" t="s">
        <v>3326</v>
      </c>
      <c r="Z354">
        <v>-1385</v>
      </c>
      <c r="AA354">
        <v>37.39</v>
      </c>
      <c r="AB354" t="s">
        <v>3326</v>
      </c>
    </row>
    <row r="355" spans="1:28">
      <c r="A355">
        <v>317</v>
      </c>
      <c r="B355" t="s">
        <v>3436</v>
      </c>
      <c r="C355" t="s">
        <v>3326</v>
      </c>
      <c r="D355">
        <v>-1386</v>
      </c>
      <c r="F355">
        <v>37.39</v>
      </c>
      <c r="G355" t="s">
        <v>3326</v>
      </c>
      <c r="P355">
        <v>317</v>
      </c>
      <c r="Q355" t="s">
        <v>3450</v>
      </c>
      <c r="R355" t="s">
        <v>3327</v>
      </c>
      <c r="S355">
        <v>-107</v>
      </c>
      <c r="T355">
        <v>62.57</v>
      </c>
      <c r="U355" t="s">
        <v>3327</v>
      </c>
      <c r="W355">
        <v>317</v>
      </c>
      <c r="X355" t="s">
        <v>3436</v>
      </c>
      <c r="Y355" t="s">
        <v>3326</v>
      </c>
      <c r="Z355">
        <v>-1386</v>
      </c>
      <c r="AA355">
        <v>37.39</v>
      </c>
      <c r="AB355" t="s">
        <v>3326</v>
      </c>
    </row>
    <row r="356" spans="1:28">
      <c r="A356">
        <v>318</v>
      </c>
      <c r="B356" t="s">
        <v>3436</v>
      </c>
      <c r="C356" t="s">
        <v>3326</v>
      </c>
      <c r="D356">
        <v>-1387</v>
      </c>
      <c r="F356">
        <v>37.39</v>
      </c>
      <c r="G356" t="s">
        <v>3326</v>
      </c>
      <c r="P356">
        <v>318</v>
      </c>
      <c r="Q356" t="s">
        <v>3450</v>
      </c>
      <c r="R356" t="s">
        <v>3327</v>
      </c>
      <c r="S356">
        <v>-108</v>
      </c>
      <c r="T356">
        <v>47.35</v>
      </c>
      <c r="U356" t="s">
        <v>3327</v>
      </c>
      <c r="W356">
        <v>318</v>
      </c>
      <c r="X356" t="s">
        <v>3436</v>
      </c>
      <c r="Y356" t="s">
        <v>3326</v>
      </c>
      <c r="Z356">
        <v>-1387</v>
      </c>
      <c r="AA356">
        <v>37.39</v>
      </c>
      <c r="AB356" t="s">
        <v>3326</v>
      </c>
    </row>
    <row r="357" spans="1:28">
      <c r="A357">
        <v>319</v>
      </c>
      <c r="B357" t="s">
        <v>3436</v>
      </c>
      <c r="C357" t="s">
        <v>3326</v>
      </c>
      <c r="D357">
        <v>-1388</v>
      </c>
      <c r="F357">
        <v>37.39</v>
      </c>
      <c r="G357" t="s">
        <v>3326</v>
      </c>
      <c r="P357">
        <v>319</v>
      </c>
      <c r="Q357" t="s">
        <v>3450</v>
      </c>
      <c r="R357" t="s">
        <v>3327</v>
      </c>
      <c r="S357">
        <v>-109</v>
      </c>
      <c r="T357">
        <v>42.93</v>
      </c>
      <c r="U357" t="s">
        <v>3327</v>
      </c>
      <c r="W357">
        <v>319</v>
      </c>
      <c r="X357" t="s">
        <v>3436</v>
      </c>
      <c r="Y357" t="s">
        <v>3326</v>
      </c>
      <c r="Z357">
        <v>-1388</v>
      </c>
      <c r="AA357">
        <v>37.39</v>
      </c>
      <c r="AB357" t="s">
        <v>3326</v>
      </c>
    </row>
    <row r="358" spans="1:28">
      <c r="A358">
        <v>320</v>
      </c>
      <c r="B358" t="s">
        <v>3436</v>
      </c>
      <c r="C358" t="s">
        <v>3326</v>
      </c>
      <c r="D358">
        <v>-1390</v>
      </c>
      <c r="F358">
        <v>37.39</v>
      </c>
      <c r="G358" t="s">
        <v>3326</v>
      </c>
      <c r="P358">
        <v>320</v>
      </c>
      <c r="Q358" t="s">
        <v>3450</v>
      </c>
      <c r="R358" t="s">
        <v>3327</v>
      </c>
      <c r="S358">
        <v>-110</v>
      </c>
      <c r="T358">
        <v>42.93</v>
      </c>
      <c r="U358" t="s">
        <v>3327</v>
      </c>
      <c r="W358">
        <v>320</v>
      </c>
      <c r="X358" t="s">
        <v>3436</v>
      </c>
      <c r="Y358" t="s">
        <v>3326</v>
      </c>
      <c r="Z358">
        <v>-1390</v>
      </c>
      <c r="AA358">
        <v>37.39</v>
      </c>
      <c r="AB358" t="s">
        <v>3326</v>
      </c>
    </row>
    <row r="359" spans="1:28">
      <c r="A359">
        <v>321</v>
      </c>
      <c r="B359" t="s">
        <v>3436</v>
      </c>
      <c r="C359" t="s">
        <v>3326</v>
      </c>
      <c r="D359">
        <v>-1391</v>
      </c>
      <c r="F359">
        <v>37.39</v>
      </c>
      <c r="G359" t="s">
        <v>3326</v>
      </c>
      <c r="P359">
        <v>321</v>
      </c>
      <c r="Q359" t="s">
        <v>3450</v>
      </c>
      <c r="R359" t="s">
        <v>3327</v>
      </c>
      <c r="S359">
        <v>-111</v>
      </c>
      <c r="T359">
        <v>47.35</v>
      </c>
      <c r="U359" t="s">
        <v>3327</v>
      </c>
      <c r="W359">
        <v>321</v>
      </c>
      <c r="X359" t="s">
        <v>3436</v>
      </c>
      <c r="Y359" t="s">
        <v>3326</v>
      </c>
      <c r="Z359">
        <v>-1391</v>
      </c>
      <c r="AA359">
        <v>37.39</v>
      </c>
      <c r="AB359" t="s">
        <v>3326</v>
      </c>
    </row>
    <row r="360" spans="1:28">
      <c r="A360">
        <v>322</v>
      </c>
      <c r="B360" t="s">
        <v>3436</v>
      </c>
      <c r="C360" t="s">
        <v>3326</v>
      </c>
      <c r="D360">
        <v>-1394</v>
      </c>
      <c r="F360">
        <v>37.39</v>
      </c>
      <c r="G360" t="s">
        <v>3326</v>
      </c>
      <c r="P360">
        <v>322</v>
      </c>
      <c r="Q360" t="s">
        <v>3450</v>
      </c>
      <c r="R360" t="s">
        <v>3327</v>
      </c>
      <c r="S360">
        <v>-112</v>
      </c>
      <c r="T360">
        <v>62.57</v>
      </c>
      <c r="U360" t="s">
        <v>3327</v>
      </c>
      <c r="W360">
        <v>322</v>
      </c>
      <c r="X360" t="s">
        <v>3436</v>
      </c>
      <c r="Y360" t="s">
        <v>3326</v>
      </c>
      <c r="Z360">
        <v>-1394</v>
      </c>
      <c r="AA360">
        <v>37.39</v>
      </c>
      <c r="AB360" t="s">
        <v>3326</v>
      </c>
    </row>
    <row r="361" spans="1:28">
      <c r="A361">
        <v>323</v>
      </c>
      <c r="B361" t="s">
        <v>3436</v>
      </c>
      <c r="C361" t="s">
        <v>3326</v>
      </c>
      <c r="D361">
        <v>-1395</v>
      </c>
      <c r="F361">
        <v>37.39</v>
      </c>
      <c r="G361" t="s">
        <v>3326</v>
      </c>
      <c r="P361">
        <v>323</v>
      </c>
      <c r="Q361" t="s">
        <v>3450</v>
      </c>
      <c r="R361" t="s">
        <v>3327</v>
      </c>
      <c r="S361">
        <v>-113</v>
      </c>
      <c r="T361">
        <v>61.61</v>
      </c>
      <c r="U361" t="s">
        <v>3327</v>
      </c>
      <c r="W361">
        <v>323</v>
      </c>
      <c r="X361" t="s">
        <v>3436</v>
      </c>
      <c r="Y361" t="s">
        <v>3326</v>
      </c>
      <c r="Z361">
        <v>-1395</v>
      </c>
      <c r="AA361">
        <v>37.39</v>
      </c>
      <c r="AB361" t="s">
        <v>3326</v>
      </c>
    </row>
    <row r="362" spans="1:28">
      <c r="A362">
        <v>324</v>
      </c>
      <c r="B362" t="s">
        <v>3436</v>
      </c>
      <c r="C362" t="s">
        <v>3326</v>
      </c>
      <c r="D362">
        <v>-1396</v>
      </c>
      <c r="F362">
        <v>37.39</v>
      </c>
      <c r="G362" t="s">
        <v>3326</v>
      </c>
      <c r="P362">
        <v>324</v>
      </c>
      <c r="Q362" t="s">
        <v>3450</v>
      </c>
      <c r="R362" t="s">
        <v>3327</v>
      </c>
      <c r="S362">
        <v>-114</v>
      </c>
      <c r="T362">
        <v>61.61</v>
      </c>
      <c r="U362" t="s">
        <v>3327</v>
      </c>
      <c r="W362">
        <v>324</v>
      </c>
      <c r="X362" t="s">
        <v>3436</v>
      </c>
      <c r="Y362" t="s">
        <v>3326</v>
      </c>
      <c r="Z362">
        <v>-1396</v>
      </c>
      <c r="AA362">
        <v>37.39</v>
      </c>
      <c r="AB362" t="s">
        <v>3326</v>
      </c>
    </row>
    <row r="363" spans="1:28">
      <c r="A363">
        <v>325</v>
      </c>
      <c r="B363" t="s">
        <v>3436</v>
      </c>
      <c r="C363" t="s">
        <v>3326</v>
      </c>
      <c r="D363">
        <v>-1397</v>
      </c>
      <c r="F363">
        <v>37.39</v>
      </c>
      <c r="G363" t="s">
        <v>3326</v>
      </c>
      <c r="P363">
        <v>325</v>
      </c>
      <c r="Q363" t="s">
        <v>3450</v>
      </c>
      <c r="R363" t="s">
        <v>3327</v>
      </c>
      <c r="S363">
        <v>-115</v>
      </c>
      <c r="T363">
        <v>62.57</v>
      </c>
      <c r="U363" t="s">
        <v>3327</v>
      </c>
      <c r="W363">
        <v>325</v>
      </c>
      <c r="X363" t="s">
        <v>3436</v>
      </c>
      <c r="Y363" t="s">
        <v>3326</v>
      </c>
      <c r="Z363">
        <v>-1397</v>
      </c>
      <c r="AA363">
        <v>37.39</v>
      </c>
      <c r="AB363" t="s">
        <v>3326</v>
      </c>
    </row>
    <row r="364" spans="1:28">
      <c r="A364">
        <v>326</v>
      </c>
      <c r="B364" t="s">
        <v>3436</v>
      </c>
      <c r="C364" t="s">
        <v>3326</v>
      </c>
      <c r="D364">
        <v>-1398</v>
      </c>
      <c r="F364">
        <v>37.39</v>
      </c>
      <c r="G364" t="s">
        <v>3326</v>
      </c>
      <c r="P364">
        <v>326</v>
      </c>
      <c r="Q364" t="s">
        <v>3450</v>
      </c>
      <c r="R364" t="s">
        <v>3327</v>
      </c>
      <c r="S364">
        <v>-116</v>
      </c>
      <c r="T364">
        <v>47.35</v>
      </c>
      <c r="U364" t="s">
        <v>3327</v>
      </c>
      <c r="W364">
        <v>326</v>
      </c>
      <c r="X364" t="s">
        <v>3436</v>
      </c>
      <c r="Y364" t="s">
        <v>3326</v>
      </c>
      <c r="Z364">
        <v>-1398</v>
      </c>
      <c r="AA364">
        <v>37.39</v>
      </c>
      <c r="AB364" t="s">
        <v>3326</v>
      </c>
    </row>
    <row r="365" spans="1:28">
      <c r="A365">
        <v>327</v>
      </c>
      <c r="B365" t="s">
        <v>3436</v>
      </c>
      <c r="C365" t="s">
        <v>3326</v>
      </c>
      <c r="D365">
        <v>-1399</v>
      </c>
      <c r="F365">
        <v>37.39</v>
      </c>
      <c r="G365" t="s">
        <v>3326</v>
      </c>
      <c r="P365">
        <v>327</v>
      </c>
      <c r="Q365" t="s">
        <v>3450</v>
      </c>
      <c r="R365" t="s">
        <v>3327</v>
      </c>
      <c r="S365">
        <v>-117</v>
      </c>
      <c r="T365">
        <v>62.75</v>
      </c>
      <c r="U365" t="s">
        <v>3327</v>
      </c>
      <c r="W365">
        <v>327</v>
      </c>
      <c r="X365" t="s">
        <v>3436</v>
      </c>
      <c r="Y365" t="s">
        <v>3326</v>
      </c>
      <c r="Z365">
        <v>-1399</v>
      </c>
      <c r="AA365">
        <v>37.39</v>
      </c>
      <c r="AB365" t="s">
        <v>3326</v>
      </c>
    </row>
    <row r="366" spans="1:28">
      <c r="A366">
        <v>328</v>
      </c>
      <c r="B366" t="s">
        <v>3436</v>
      </c>
      <c r="C366" t="s">
        <v>3326</v>
      </c>
      <c r="D366">
        <v>-1400</v>
      </c>
      <c r="F366">
        <v>37.39</v>
      </c>
      <c r="G366" t="s">
        <v>3326</v>
      </c>
      <c r="P366">
        <v>328</v>
      </c>
      <c r="Q366" t="s">
        <v>3450</v>
      </c>
      <c r="R366" t="s">
        <v>3327</v>
      </c>
      <c r="S366">
        <v>-118</v>
      </c>
      <c r="T366">
        <v>15.15</v>
      </c>
      <c r="U366" t="s">
        <v>3327</v>
      </c>
      <c r="W366">
        <v>328</v>
      </c>
      <c r="X366" t="s">
        <v>3436</v>
      </c>
      <c r="Y366" t="s">
        <v>3326</v>
      </c>
      <c r="Z366">
        <v>-1400</v>
      </c>
      <c r="AA366">
        <v>37.39</v>
      </c>
      <c r="AB366" t="s">
        <v>3326</v>
      </c>
    </row>
    <row r="367" spans="1:28">
      <c r="A367">
        <v>329</v>
      </c>
      <c r="B367" t="s">
        <v>3436</v>
      </c>
      <c r="C367" t="s">
        <v>3326</v>
      </c>
      <c r="D367">
        <v>-1401</v>
      </c>
      <c r="F367">
        <v>37.39</v>
      </c>
      <c r="G367" t="s">
        <v>3326</v>
      </c>
      <c r="P367">
        <v>329</v>
      </c>
      <c r="Q367" t="s">
        <v>3450</v>
      </c>
      <c r="R367" t="s">
        <v>3327</v>
      </c>
      <c r="S367">
        <v>-119</v>
      </c>
      <c r="T367">
        <v>14.96</v>
      </c>
      <c r="U367" t="s">
        <v>3327</v>
      </c>
      <c r="W367">
        <v>329</v>
      </c>
      <c r="X367" t="s">
        <v>3436</v>
      </c>
      <c r="Y367" t="s">
        <v>3326</v>
      </c>
      <c r="Z367">
        <v>-1401</v>
      </c>
      <c r="AA367">
        <v>37.39</v>
      </c>
      <c r="AB367" t="s">
        <v>3326</v>
      </c>
    </row>
    <row r="368" spans="1:28">
      <c r="A368">
        <v>330</v>
      </c>
      <c r="B368" t="s">
        <v>3436</v>
      </c>
      <c r="C368" t="s">
        <v>3326</v>
      </c>
      <c r="D368">
        <v>-1402</v>
      </c>
      <c r="F368">
        <v>37.39</v>
      </c>
      <c r="G368" t="s">
        <v>3326</v>
      </c>
      <c r="P368">
        <v>330</v>
      </c>
      <c r="Q368" t="s">
        <v>3450</v>
      </c>
      <c r="R368" t="s">
        <v>3327</v>
      </c>
      <c r="S368">
        <v>-120</v>
      </c>
      <c r="T368">
        <v>14.96</v>
      </c>
      <c r="U368" t="s">
        <v>3327</v>
      </c>
      <c r="W368">
        <v>330</v>
      </c>
      <c r="X368" t="s">
        <v>3436</v>
      </c>
      <c r="Y368" t="s">
        <v>3326</v>
      </c>
      <c r="Z368">
        <v>-1402</v>
      </c>
      <c r="AA368">
        <v>37.39</v>
      </c>
      <c r="AB368" t="s">
        <v>3326</v>
      </c>
    </row>
    <row r="369" spans="1:28">
      <c r="A369">
        <v>331</v>
      </c>
      <c r="B369" t="s">
        <v>3436</v>
      </c>
      <c r="C369" t="s">
        <v>3326</v>
      </c>
      <c r="D369">
        <v>-1403</v>
      </c>
      <c r="F369">
        <v>37.39</v>
      </c>
      <c r="G369" t="s">
        <v>3326</v>
      </c>
      <c r="P369">
        <v>331</v>
      </c>
      <c r="Q369" t="s">
        <v>3450</v>
      </c>
      <c r="R369" t="s">
        <v>3327</v>
      </c>
      <c r="S369">
        <v>-201</v>
      </c>
      <c r="T369">
        <v>22.98</v>
      </c>
      <c r="U369" t="s">
        <v>3327</v>
      </c>
      <c r="W369">
        <v>331</v>
      </c>
      <c r="X369" t="s">
        <v>3436</v>
      </c>
      <c r="Y369" t="s">
        <v>3326</v>
      </c>
      <c r="Z369">
        <v>-1403</v>
      </c>
      <c r="AA369">
        <v>37.39</v>
      </c>
      <c r="AB369" t="s">
        <v>3326</v>
      </c>
    </row>
    <row r="370" spans="1:28">
      <c r="A370">
        <v>332</v>
      </c>
      <c r="B370" t="s">
        <v>3436</v>
      </c>
      <c r="C370" t="s">
        <v>3326</v>
      </c>
      <c r="D370">
        <v>-1404</v>
      </c>
      <c r="F370">
        <v>37.39</v>
      </c>
      <c r="G370" t="s">
        <v>3326</v>
      </c>
      <c r="P370">
        <v>332</v>
      </c>
      <c r="Q370" t="s">
        <v>3450</v>
      </c>
      <c r="R370" t="s">
        <v>3327</v>
      </c>
      <c r="S370">
        <v>-202</v>
      </c>
      <c r="T370">
        <v>22.98</v>
      </c>
      <c r="U370" t="s">
        <v>3327</v>
      </c>
      <c r="W370">
        <v>332</v>
      </c>
      <c r="X370" t="s">
        <v>3436</v>
      </c>
      <c r="Y370" t="s">
        <v>3326</v>
      </c>
      <c r="Z370">
        <v>-1404</v>
      </c>
      <c r="AA370">
        <v>37.39</v>
      </c>
      <c r="AB370" t="s">
        <v>3326</v>
      </c>
    </row>
    <row r="371" spans="1:28">
      <c r="A371">
        <v>333</v>
      </c>
      <c r="B371" t="s">
        <v>3436</v>
      </c>
      <c r="C371" t="s">
        <v>3326</v>
      </c>
      <c r="D371">
        <v>-1405</v>
      </c>
      <c r="F371">
        <v>37.39</v>
      </c>
      <c r="G371" t="s">
        <v>3326</v>
      </c>
      <c r="P371">
        <v>333</v>
      </c>
      <c r="Q371" t="s">
        <v>3450</v>
      </c>
      <c r="R371" t="s">
        <v>3327</v>
      </c>
      <c r="S371">
        <v>-203</v>
      </c>
      <c r="T371">
        <v>22.98</v>
      </c>
      <c r="U371" t="s">
        <v>3327</v>
      </c>
      <c r="W371">
        <v>333</v>
      </c>
      <c r="X371" t="s">
        <v>3436</v>
      </c>
      <c r="Y371" t="s">
        <v>3326</v>
      </c>
      <c r="Z371">
        <v>-1405</v>
      </c>
      <c r="AA371">
        <v>37.39</v>
      </c>
      <c r="AB371" t="s">
        <v>3326</v>
      </c>
    </row>
    <row r="372" spans="1:28">
      <c r="A372">
        <v>334</v>
      </c>
      <c r="B372" t="s">
        <v>3436</v>
      </c>
      <c r="C372" t="s">
        <v>3326</v>
      </c>
      <c r="D372">
        <v>-1406</v>
      </c>
      <c r="F372">
        <v>37.39</v>
      </c>
      <c r="G372" t="s">
        <v>3326</v>
      </c>
      <c r="P372">
        <v>334</v>
      </c>
      <c r="Q372" t="s">
        <v>3450</v>
      </c>
      <c r="R372" t="s">
        <v>3327</v>
      </c>
      <c r="S372">
        <v>-204</v>
      </c>
      <c r="T372">
        <v>21.55</v>
      </c>
      <c r="U372" t="s">
        <v>3327</v>
      </c>
      <c r="W372">
        <v>334</v>
      </c>
      <c r="X372" t="s">
        <v>3436</v>
      </c>
      <c r="Y372" t="s">
        <v>3326</v>
      </c>
      <c r="Z372">
        <v>-1406</v>
      </c>
      <c r="AA372">
        <v>37.39</v>
      </c>
      <c r="AB372" t="s">
        <v>3326</v>
      </c>
    </row>
    <row r="373" spans="1:28">
      <c r="A373">
        <v>335</v>
      </c>
      <c r="B373" t="s">
        <v>3436</v>
      </c>
      <c r="C373" t="s">
        <v>3326</v>
      </c>
      <c r="D373">
        <v>-1407</v>
      </c>
      <c r="F373">
        <v>37.39</v>
      </c>
      <c r="G373" t="s">
        <v>3326</v>
      </c>
      <c r="P373">
        <v>335</v>
      </c>
      <c r="Q373" t="s">
        <v>3451</v>
      </c>
      <c r="R373" t="s">
        <v>3327</v>
      </c>
      <c r="S373">
        <v>-101</v>
      </c>
      <c r="T373">
        <v>24.8</v>
      </c>
      <c r="U373" t="s">
        <v>3327</v>
      </c>
      <c r="W373">
        <v>335</v>
      </c>
      <c r="X373" t="s">
        <v>3436</v>
      </c>
      <c r="Y373" t="s">
        <v>3326</v>
      </c>
      <c r="Z373">
        <v>-1407</v>
      </c>
      <c r="AA373">
        <v>37.39</v>
      </c>
      <c r="AB373" t="s">
        <v>3326</v>
      </c>
    </row>
    <row r="374" spans="1:28">
      <c r="A374">
        <v>336</v>
      </c>
      <c r="B374" t="s">
        <v>3436</v>
      </c>
      <c r="C374" t="s">
        <v>3326</v>
      </c>
      <c r="D374">
        <v>-1408</v>
      </c>
      <c r="F374">
        <v>37.39</v>
      </c>
      <c r="G374" t="s">
        <v>3326</v>
      </c>
      <c r="P374">
        <v>336</v>
      </c>
      <c r="Q374" t="s">
        <v>3451</v>
      </c>
      <c r="R374" t="s">
        <v>3327</v>
      </c>
      <c r="S374">
        <v>-102</v>
      </c>
      <c r="T374">
        <v>30.27</v>
      </c>
      <c r="U374" t="s">
        <v>3327</v>
      </c>
      <c r="W374">
        <v>336</v>
      </c>
      <c r="X374" t="s">
        <v>3436</v>
      </c>
      <c r="Y374" t="s">
        <v>3326</v>
      </c>
      <c r="Z374">
        <v>-1408</v>
      </c>
      <c r="AA374">
        <v>37.39</v>
      </c>
      <c r="AB374" t="s">
        <v>3326</v>
      </c>
    </row>
    <row r="375" spans="1:28">
      <c r="A375">
        <v>337</v>
      </c>
      <c r="B375" t="s">
        <v>3436</v>
      </c>
      <c r="C375" t="s">
        <v>3326</v>
      </c>
      <c r="D375">
        <v>-1409</v>
      </c>
      <c r="F375">
        <v>37.39</v>
      </c>
      <c r="G375" t="s">
        <v>3326</v>
      </c>
      <c r="P375">
        <v>337</v>
      </c>
      <c r="Q375" t="s">
        <v>3451</v>
      </c>
      <c r="R375" t="s">
        <v>3327</v>
      </c>
      <c r="S375">
        <v>-103</v>
      </c>
      <c r="T375">
        <v>56.13</v>
      </c>
      <c r="U375" t="s">
        <v>3327</v>
      </c>
      <c r="W375">
        <v>337</v>
      </c>
      <c r="X375" t="s">
        <v>3436</v>
      </c>
      <c r="Y375" t="s">
        <v>3326</v>
      </c>
      <c r="Z375">
        <v>-1409</v>
      </c>
      <c r="AA375">
        <v>37.39</v>
      </c>
      <c r="AB375" t="s">
        <v>3326</v>
      </c>
    </row>
    <row r="376" spans="1:28">
      <c r="A376">
        <v>338</v>
      </c>
      <c r="B376" t="s">
        <v>3436</v>
      </c>
      <c r="C376" t="s">
        <v>3326</v>
      </c>
      <c r="D376">
        <v>-1411</v>
      </c>
      <c r="F376">
        <v>37.39</v>
      </c>
      <c r="G376" t="s">
        <v>3326</v>
      </c>
      <c r="P376">
        <v>338</v>
      </c>
      <c r="Q376" t="s">
        <v>3451</v>
      </c>
      <c r="R376" t="s">
        <v>3327</v>
      </c>
      <c r="S376">
        <v>-104</v>
      </c>
      <c r="T376">
        <v>61.68</v>
      </c>
      <c r="U376" t="s">
        <v>3327</v>
      </c>
      <c r="W376">
        <v>338</v>
      </c>
      <c r="X376" t="s">
        <v>3436</v>
      </c>
      <c r="Y376" t="s">
        <v>3326</v>
      </c>
      <c r="Z376">
        <v>-1411</v>
      </c>
      <c r="AA376">
        <v>37.39</v>
      </c>
      <c r="AB376" t="s">
        <v>3326</v>
      </c>
    </row>
    <row r="377" spans="1:28">
      <c r="A377">
        <v>339</v>
      </c>
      <c r="B377" t="s">
        <v>3436</v>
      </c>
      <c r="C377" t="s">
        <v>3326</v>
      </c>
      <c r="D377">
        <v>-1412</v>
      </c>
      <c r="F377">
        <v>37.39</v>
      </c>
      <c r="G377" t="s">
        <v>3326</v>
      </c>
      <c r="P377">
        <v>339</v>
      </c>
      <c r="Q377" t="s">
        <v>3451</v>
      </c>
      <c r="R377" t="s">
        <v>3327</v>
      </c>
      <c r="S377">
        <v>-105</v>
      </c>
      <c r="T377">
        <v>33.5</v>
      </c>
      <c r="U377" t="s">
        <v>3327</v>
      </c>
      <c r="W377">
        <v>339</v>
      </c>
      <c r="X377" t="s">
        <v>3436</v>
      </c>
      <c r="Y377" t="s">
        <v>3326</v>
      </c>
      <c r="Z377">
        <v>-1412</v>
      </c>
      <c r="AA377">
        <v>37.39</v>
      </c>
      <c r="AB377" t="s">
        <v>3326</v>
      </c>
    </row>
    <row r="378" spans="1:28">
      <c r="A378">
        <v>340</v>
      </c>
      <c r="B378" t="s">
        <v>3436</v>
      </c>
      <c r="C378" t="s">
        <v>3326</v>
      </c>
      <c r="D378">
        <v>-1413</v>
      </c>
      <c r="F378">
        <v>37.39</v>
      </c>
      <c r="G378" t="s">
        <v>3326</v>
      </c>
      <c r="P378">
        <v>340</v>
      </c>
      <c r="Q378" t="s">
        <v>3451</v>
      </c>
      <c r="R378" t="s">
        <v>3327</v>
      </c>
      <c r="S378">
        <v>-106</v>
      </c>
      <c r="T378">
        <v>33.5</v>
      </c>
      <c r="U378" t="s">
        <v>3327</v>
      </c>
      <c r="W378">
        <v>340</v>
      </c>
      <c r="X378" t="s">
        <v>3436</v>
      </c>
      <c r="Y378" t="s">
        <v>3326</v>
      </c>
      <c r="Z378">
        <v>-1413</v>
      </c>
      <c r="AA378">
        <v>37.39</v>
      </c>
      <c r="AB378" t="s">
        <v>3326</v>
      </c>
    </row>
    <row r="379" spans="1:28">
      <c r="A379">
        <v>341</v>
      </c>
      <c r="B379" t="s">
        <v>3436</v>
      </c>
      <c r="C379" t="s">
        <v>3326</v>
      </c>
      <c r="D379">
        <v>-1414</v>
      </c>
      <c r="F379">
        <v>37.39</v>
      </c>
      <c r="G379" t="s">
        <v>3326</v>
      </c>
      <c r="P379">
        <v>341</v>
      </c>
      <c r="Q379" t="s">
        <v>3451</v>
      </c>
      <c r="R379" t="s">
        <v>3327</v>
      </c>
      <c r="S379">
        <v>-107</v>
      </c>
      <c r="T379">
        <v>61.4</v>
      </c>
      <c r="U379" t="s">
        <v>3327</v>
      </c>
      <c r="W379">
        <v>341</v>
      </c>
      <c r="X379" t="s">
        <v>3436</v>
      </c>
      <c r="Y379" t="s">
        <v>3326</v>
      </c>
      <c r="Z379">
        <v>-1414</v>
      </c>
      <c r="AA379">
        <v>37.39</v>
      </c>
      <c r="AB379" t="s">
        <v>3326</v>
      </c>
    </row>
    <row r="380" spans="1:28">
      <c r="A380">
        <v>342</v>
      </c>
      <c r="B380" t="s">
        <v>3436</v>
      </c>
      <c r="C380" t="s">
        <v>3326</v>
      </c>
      <c r="D380">
        <v>-1415</v>
      </c>
      <c r="F380">
        <v>37.39</v>
      </c>
      <c r="G380" t="s">
        <v>3326</v>
      </c>
      <c r="P380">
        <v>342</v>
      </c>
      <c r="Q380" t="s">
        <v>3451</v>
      </c>
      <c r="R380" t="s">
        <v>3327</v>
      </c>
      <c r="S380">
        <v>-108</v>
      </c>
      <c r="T380">
        <v>46.55</v>
      </c>
      <c r="U380" t="s">
        <v>3327</v>
      </c>
      <c r="W380">
        <v>342</v>
      </c>
      <c r="X380" t="s">
        <v>3436</v>
      </c>
      <c r="Y380" t="s">
        <v>3326</v>
      </c>
      <c r="Z380">
        <v>-1415</v>
      </c>
      <c r="AA380">
        <v>37.39</v>
      </c>
      <c r="AB380" t="s">
        <v>3326</v>
      </c>
    </row>
    <row r="381" spans="1:28">
      <c r="A381">
        <v>343</v>
      </c>
      <c r="B381" t="s">
        <v>3436</v>
      </c>
      <c r="C381" t="s">
        <v>3326</v>
      </c>
      <c r="D381">
        <v>-1416</v>
      </c>
      <c r="F381">
        <v>37.39</v>
      </c>
      <c r="G381" t="s">
        <v>3326</v>
      </c>
      <c r="P381">
        <v>343</v>
      </c>
      <c r="Q381" t="s">
        <v>3451</v>
      </c>
      <c r="R381" t="s">
        <v>3327</v>
      </c>
      <c r="S381">
        <v>-109</v>
      </c>
      <c r="T381">
        <v>46.55</v>
      </c>
      <c r="U381" t="s">
        <v>3327</v>
      </c>
      <c r="W381">
        <v>343</v>
      </c>
      <c r="X381" t="s">
        <v>3436</v>
      </c>
      <c r="Y381" t="s">
        <v>3326</v>
      </c>
      <c r="Z381">
        <v>-1416</v>
      </c>
      <c r="AA381">
        <v>37.39</v>
      </c>
      <c r="AB381" t="s">
        <v>3326</v>
      </c>
    </row>
    <row r="382" spans="1:28">
      <c r="A382">
        <v>344</v>
      </c>
      <c r="B382" t="s">
        <v>3436</v>
      </c>
      <c r="C382" t="s">
        <v>3326</v>
      </c>
      <c r="D382">
        <v>-1417</v>
      </c>
      <c r="F382">
        <v>37.39</v>
      </c>
      <c r="G382" t="s">
        <v>3326</v>
      </c>
      <c r="P382">
        <v>344</v>
      </c>
      <c r="Q382" t="s">
        <v>3451</v>
      </c>
      <c r="R382" t="s">
        <v>3327</v>
      </c>
      <c r="S382">
        <v>-110</v>
      </c>
      <c r="T382">
        <v>61.4</v>
      </c>
      <c r="U382" t="s">
        <v>3327</v>
      </c>
      <c r="W382">
        <v>344</v>
      </c>
      <c r="X382" t="s">
        <v>3436</v>
      </c>
      <c r="Y382" t="s">
        <v>3326</v>
      </c>
      <c r="Z382">
        <v>-1417</v>
      </c>
      <c r="AA382">
        <v>37.39</v>
      </c>
      <c r="AB382" t="s">
        <v>3326</v>
      </c>
    </row>
    <row r="383" spans="1:28">
      <c r="A383">
        <v>345</v>
      </c>
      <c r="B383" t="s">
        <v>3436</v>
      </c>
      <c r="C383" t="s">
        <v>3326</v>
      </c>
      <c r="D383">
        <v>-1418</v>
      </c>
      <c r="F383">
        <v>37.39</v>
      </c>
      <c r="G383" t="s">
        <v>3326</v>
      </c>
      <c r="P383">
        <v>345</v>
      </c>
      <c r="Q383" t="s">
        <v>3451</v>
      </c>
      <c r="R383" t="s">
        <v>3327</v>
      </c>
      <c r="S383">
        <v>-111</v>
      </c>
      <c r="T383">
        <v>33.5</v>
      </c>
      <c r="U383" t="s">
        <v>3327</v>
      </c>
      <c r="W383">
        <v>345</v>
      </c>
      <c r="X383" t="s">
        <v>3436</v>
      </c>
      <c r="Y383" t="s">
        <v>3326</v>
      </c>
      <c r="Z383">
        <v>-1418</v>
      </c>
      <c r="AA383">
        <v>37.39</v>
      </c>
      <c r="AB383" t="s">
        <v>3326</v>
      </c>
    </row>
    <row r="384" spans="1:28">
      <c r="A384">
        <v>346</v>
      </c>
      <c r="B384" t="s">
        <v>3436</v>
      </c>
      <c r="C384" t="s">
        <v>3326</v>
      </c>
      <c r="D384">
        <v>-1419</v>
      </c>
      <c r="F384">
        <v>37.39</v>
      </c>
      <c r="G384" t="s">
        <v>3326</v>
      </c>
      <c r="P384">
        <v>346</v>
      </c>
      <c r="Q384" t="s">
        <v>3451</v>
      </c>
      <c r="R384" t="s">
        <v>3327</v>
      </c>
      <c r="S384">
        <v>-112</v>
      </c>
      <c r="T384">
        <v>33.5</v>
      </c>
      <c r="U384" t="s">
        <v>3327</v>
      </c>
      <c r="W384">
        <v>346</v>
      </c>
      <c r="X384" t="s">
        <v>3436</v>
      </c>
      <c r="Y384" t="s">
        <v>3326</v>
      </c>
      <c r="Z384">
        <v>-1419</v>
      </c>
      <c r="AA384">
        <v>37.39</v>
      </c>
      <c r="AB384" t="s">
        <v>3326</v>
      </c>
    </row>
    <row r="385" spans="1:28">
      <c r="A385">
        <v>347</v>
      </c>
      <c r="B385" t="s">
        <v>3436</v>
      </c>
      <c r="C385" t="s">
        <v>3326</v>
      </c>
      <c r="D385">
        <v>-1420</v>
      </c>
      <c r="F385">
        <v>37.39</v>
      </c>
      <c r="G385" t="s">
        <v>3326</v>
      </c>
      <c r="P385">
        <v>347</v>
      </c>
      <c r="Q385" t="s">
        <v>3451</v>
      </c>
      <c r="R385" t="s">
        <v>3327</v>
      </c>
      <c r="S385">
        <v>-113</v>
      </c>
      <c r="T385">
        <v>61.4</v>
      </c>
      <c r="U385" t="s">
        <v>3327</v>
      </c>
      <c r="W385">
        <v>347</v>
      </c>
      <c r="X385" t="s">
        <v>3436</v>
      </c>
      <c r="Y385" t="s">
        <v>3326</v>
      </c>
      <c r="Z385">
        <v>-1420</v>
      </c>
      <c r="AA385">
        <v>37.39</v>
      </c>
      <c r="AB385" t="s">
        <v>3326</v>
      </c>
    </row>
    <row r="386" spans="1:28">
      <c r="A386">
        <v>348</v>
      </c>
      <c r="B386" t="s">
        <v>3436</v>
      </c>
      <c r="C386" t="s">
        <v>3326</v>
      </c>
      <c r="D386">
        <v>-1421</v>
      </c>
      <c r="F386">
        <v>37.39</v>
      </c>
      <c r="G386" t="s">
        <v>3326</v>
      </c>
      <c r="P386">
        <v>348</v>
      </c>
      <c r="Q386" t="s">
        <v>3451</v>
      </c>
      <c r="R386" t="s">
        <v>3327</v>
      </c>
      <c r="S386">
        <v>-114</v>
      </c>
      <c r="T386">
        <v>46.23</v>
      </c>
      <c r="U386" t="s">
        <v>3327</v>
      </c>
      <c r="W386">
        <v>348</v>
      </c>
      <c r="X386" t="s">
        <v>3436</v>
      </c>
      <c r="Y386" t="s">
        <v>3326</v>
      </c>
      <c r="Z386">
        <v>-1421</v>
      </c>
      <c r="AA386">
        <v>37.39</v>
      </c>
      <c r="AB386" t="s">
        <v>3326</v>
      </c>
    </row>
    <row r="387" spans="1:28">
      <c r="A387">
        <v>349</v>
      </c>
      <c r="B387" t="s">
        <v>3436</v>
      </c>
      <c r="C387" t="s">
        <v>3326</v>
      </c>
      <c r="D387">
        <v>-1422</v>
      </c>
      <c r="F387">
        <v>37.39</v>
      </c>
      <c r="G387" t="s">
        <v>3326</v>
      </c>
      <c r="P387">
        <v>349</v>
      </c>
      <c r="Q387" t="s">
        <v>3451</v>
      </c>
      <c r="R387" t="s">
        <v>3327</v>
      </c>
      <c r="S387">
        <v>-115</v>
      </c>
      <c r="T387">
        <v>46.23</v>
      </c>
      <c r="U387" t="s">
        <v>3327</v>
      </c>
      <c r="W387">
        <v>349</v>
      </c>
      <c r="X387" t="s">
        <v>3436</v>
      </c>
      <c r="Y387" t="s">
        <v>3326</v>
      </c>
      <c r="Z387">
        <v>-1422</v>
      </c>
      <c r="AA387">
        <v>37.39</v>
      </c>
      <c r="AB387" t="s">
        <v>3326</v>
      </c>
    </row>
    <row r="388" spans="1:28">
      <c r="A388">
        <v>350</v>
      </c>
      <c r="B388" t="s">
        <v>3436</v>
      </c>
      <c r="C388" t="s">
        <v>3326</v>
      </c>
      <c r="D388">
        <v>-1423</v>
      </c>
      <c r="F388">
        <v>37.39</v>
      </c>
      <c r="G388" t="s">
        <v>3326</v>
      </c>
      <c r="P388">
        <v>350</v>
      </c>
      <c r="Q388" t="s">
        <v>3451</v>
      </c>
      <c r="R388" t="s">
        <v>3327</v>
      </c>
      <c r="S388">
        <v>-116</v>
      </c>
      <c r="T388">
        <v>61.4</v>
      </c>
      <c r="U388" t="s">
        <v>3327</v>
      </c>
      <c r="W388">
        <v>350</v>
      </c>
      <c r="X388" t="s">
        <v>3436</v>
      </c>
      <c r="Y388" t="s">
        <v>3326</v>
      </c>
      <c r="Z388">
        <v>-1423</v>
      </c>
      <c r="AA388">
        <v>37.39</v>
      </c>
      <c r="AB388" t="s">
        <v>3326</v>
      </c>
    </row>
    <row r="389" spans="1:28">
      <c r="A389">
        <v>351</v>
      </c>
      <c r="B389" t="s">
        <v>3436</v>
      </c>
      <c r="C389" t="s">
        <v>3326</v>
      </c>
      <c r="D389">
        <v>-1424</v>
      </c>
      <c r="F389">
        <v>37.39</v>
      </c>
      <c r="G389" t="s">
        <v>3326</v>
      </c>
      <c r="P389">
        <v>351</v>
      </c>
      <c r="Q389" t="s">
        <v>3451</v>
      </c>
      <c r="R389" t="s">
        <v>3327</v>
      </c>
      <c r="S389">
        <v>-117</v>
      </c>
      <c r="T389">
        <v>33.5</v>
      </c>
      <c r="U389" t="s">
        <v>3327</v>
      </c>
      <c r="W389">
        <v>351</v>
      </c>
      <c r="X389" t="s">
        <v>3436</v>
      </c>
      <c r="Y389" t="s">
        <v>3326</v>
      </c>
      <c r="Z389">
        <v>-1424</v>
      </c>
      <c r="AA389">
        <v>37.39</v>
      </c>
      <c r="AB389" t="s">
        <v>3326</v>
      </c>
    </row>
    <row r="390" spans="1:28">
      <c r="A390">
        <v>352</v>
      </c>
      <c r="B390" t="s">
        <v>3436</v>
      </c>
      <c r="C390" t="s">
        <v>3326</v>
      </c>
      <c r="D390">
        <v>-1425</v>
      </c>
      <c r="F390">
        <v>37.39</v>
      </c>
      <c r="G390" t="s">
        <v>3326</v>
      </c>
      <c r="P390">
        <v>352</v>
      </c>
      <c r="Q390" t="s">
        <v>3451</v>
      </c>
      <c r="R390" t="s">
        <v>3327</v>
      </c>
      <c r="S390">
        <v>-123</v>
      </c>
      <c r="T390">
        <v>28.07</v>
      </c>
      <c r="U390" t="s">
        <v>3327</v>
      </c>
      <c r="W390">
        <v>352</v>
      </c>
      <c r="X390" t="s">
        <v>3436</v>
      </c>
      <c r="Y390" t="s">
        <v>3326</v>
      </c>
      <c r="Z390">
        <v>-1425</v>
      </c>
      <c r="AA390">
        <v>37.39</v>
      </c>
      <c r="AB390" t="s">
        <v>3326</v>
      </c>
    </row>
    <row r="391" spans="1:28">
      <c r="A391">
        <v>353</v>
      </c>
      <c r="B391" t="s">
        <v>3436</v>
      </c>
      <c r="C391" t="s">
        <v>3326</v>
      </c>
      <c r="D391">
        <v>-1427</v>
      </c>
      <c r="F391">
        <v>37.39</v>
      </c>
      <c r="G391" t="s">
        <v>3326</v>
      </c>
      <c r="P391">
        <v>353</v>
      </c>
      <c r="Q391" t="s">
        <v>3451</v>
      </c>
      <c r="R391" t="s">
        <v>3327</v>
      </c>
      <c r="S391">
        <v>-124</v>
      </c>
      <c r="T391">
        <v>32.71</v>
      </c>
      <c r="U391" t="s">
        <v>3327</v>
      </c>
      <c r="W391">
        <v>353</v>
      </c>
      <c r="X391" t="s">
        <v>3436</v>
      </c>
      <c r="Y391" t="s">
        <v>3326</v>
      </c>
      <c r="Z391">
        <v>-1427</v>
      </c>
      <c r="AA391">
        <v>37.39</v>
      </c>
      <c r="AB391" t="s">
        <v>3326</v>
      </c>
    </row>
    <row r="392" spans="1:28">
      <c r="A392">
        <v>354</v>
      </c>
      <c r="B392" t="s">
        <v>3436</v>
      </c>
      <c r="C392" t="s">
        <v>3326</v>
      </c>
      <c r="D392">
        <v>-1428</v>
      </c>
      <c r="F392">
        <v>37.39</v>
      </c>
      <c r="G392" t="s">
        <v>3326</v>
      </c>
      <c r="P392">
        <v>354</v>
      </c>
      <c r="Q392" t="s">
        <v>3451</v>
      </c>
      <c r="R392" t="s">
        <v>3327</v>
      </c>
      <c r="S392">
        <v>-125</v>
      </c>
      <c r="T392">
        <v>21.95</v>
      </c>
      <c r="U392" t="s">
        <v>3327</v>
      </c>
      <c r="W392">
        <v>354</v>
      </c>
      <c r="X392" t="s">
        <v>3436</v>
      </c>
      <c r="Y392" t="s">
        <v>3326</v>
      </c>
      <c r="Z392">
        <v>-1428</v>
      </c>
      <c r="AA392">
        <v>37.39</v>
      </c>
      <c r="AB392" t="s">
        <v>3326</v>
      </c>
    </row>
    <row r="393" spans="1:28">
      <c r="A393">
        <v>355</v>
      </c>
      <c r="B393" t="s">
        <v>3436</v>
      </c>
      <c r="C393" t="s">
        <v>3326</v>
      </c>
      <c r="D393">
        <v>-1429</v>
      </c>
      <c r="F393">
        <v>37.39</v>
      </c>
      <c r="G393" t="s">
        <v>3326</v>
      </c>
      <c r="P393">
        <v>355</v>
      </c>
      <c r="Q393" t="s">
        <v>3451</v>
      </c>
      <c r="R393" t="s">
        <v>3327</v>
      </c>
      <c r="S393">
        <v>-126</v>
      </c>
      <c r="T393">
        <v>42.5</v>
      </c>
      <c r="U393" t="s">
        <v>3327</v>
      </c>
      <c r="W393">
        <v>355</v>
      </c>
      <c r="X393" t="s">
        <v>3436</v>
      </c>
      <c r="Y393" t="s">
        <v>3326</v>
      </c>
      <c r="Z393">
        <v>-1429</v>
      </c>
      <c r="AA393">
        <v>37.39</v>
      </c>
      <c r="AB393" t="s">
        <v>3326</v>
      </c>
    </row>
    <row r="394" spans="1:28">
      <c r="A394">
        <v>356</v>
      </c>
      <c r="B394" t="s">
        <v>3436</v>
      </c>
      <c r="C394" t="s">
        <v>3326</v>
      </c>
      <c r="D394">
        <v>-1430</v>
      </c>
      <c r="F394">
        <v>37.39</v>
      </c>
      <c r="G394" t="s">
        <v>3326</v>
      </c>
      <c r="P394">
        <v>356</v>
      </c>
      <c r="Q394" t="s">
        <v>3451</v>
      </c>
      <c r="R394" t="s">
        <v>3327</v>
      </c>
      <c r="S394">
        <v>-127</v>
      </c>
      <c r="T394">
        <v>31.82</v>
      </c>
      <c r="U394" t="s">
        <v>3327</v>
      </c>
      <c r="W394">
        <v>356</v>
      </c>
      <c r="X394" t="s">
        <v>3436</v>
      </c>
      <c r="Y394" t="s">
        <v>3326</v>
      </c>
      <c r="Z394">
        <v>-1430</v>
      </c>
      <c r="AA394">
        <v>37.39</v>
      </c>
      <c r="AB394" t="s">
        <v>3326</v>
      </c>
    </row>
    <row r="395" spans="1:28">
      <c r="A395">
        <v>357</v>
      </c>
      <c r="B395" t="s">
        <v>3436</v>
      </c>
      <c r="C395" t="s">
        <v>3326</v>
      </c>
      <c r="D395">
        <v>-1432</v>
      </c>
      <c r="F395">
        <v>37.39</v>
      </c>
      <c r="G395" t="s">
        <v>3326</v>
      </c>
      <c r="P395">
        <v>357</v>
      </c>
      <c r="Q395" t="s">
        <v>3451</v>
      </c>
      <c r="R395" t="s">
        <v>3327</v>
      </c>
      <c r="S395">
        <v>-201</v>
      </c>
      <c r="T395">
        <v>22.65</v>
      </c>
      <c r="U395" t="s">
        <v>3327</v>
      </c>
      <c r="W395">
        <v>357</v>
      </c>
      <c r="X395" t="s">
        <v>3436</v>
      </c>
      <c r="Y395" t="s">
        <v>3326</v>
      </c>
      <c r="Z395">
        <v>-1432</v>
      </c>
      <c r="AA395">
        <v>37.39</v>
      </c>
      <c r="AB395" t="s">
        <v>3326</v>
      </c>
    </row>
    <row r="396" spans="1:28">
      <c r="A396">
        <v>358</v>
      </c>
      <c r="B396" t="s">
        <v>3436</v>
      </c>
      <c r="C396" t="s">
        <v>3326</v>
      </c>
      <c r="D396">
        <v>-1434</v>
      </c>
      <c r="F396">
        <v>37.39</v>
      </c>
      <c r="G396" t="s">
        <v>3326</v>
      </c>
      <c r="P396">
        <v>358</v>
      </c>
      <c r="Q396" t="s">
        <v>3451</v>
      </c>
      <c r="R396" t="s">
        <v>3327</v>
      </c>
      <c r="S396">
        <v>-202</v>
      </c>
      <c r="T396">
        <v>30.24</v>
      </c>
      <c r="U396" t="s">
        <v>3327</v>
      </c>
      <c r="W396">
        <v>358</v>
      </c>
      <c r="X396" t="s">
        <v>3436</v>
      </c>
      <c r="Y396" t="s">
        <v>3326</v>
      </c>
      <c r="Z396">
        <v>-1434</v>
      </c>
      <c r="AA396">
        <v>37.39</v>
      </c>
      <c r="AB396" t="s">
        <v>3326</v>
      </c>
    </row>
    <row r="397" spans="1:28">
      <c r="A397">
        <v>359</v>
      </c>
      <c r="B397" t="s">
        <v>3436</v>
      </c>
      <c r="C397" t="s">
        <v>3326</v>
      </c>
      <c r="D397">
        <v>-1435</v>
      </c>
      <c r="F397">
        <v>37.39</v>
      </c>
      <c r="G397" t="s">
        <v>3326</v>
      </c>
      <c r="P397">
        <v>359</v>
      </c>
      <c r="Q397" t="s">
        <v>3451</v>
      </c>
      <c r="R397" t="s">
        <v>3327</v>
      </c>
      <c r="S397">
        <v>-203</v>
      </c>
      <c r="T397">
        <v>24.05</v>
      </c>
      <c r="U397" t="s">
        <v>3327</v>
      </c>
      <c r="W397">
        <v>359</v>
      </c>
      <c r="X397" t="s">
        <v>3436</v>
      </c>
      <c r="Y397" t="s">
        <v>3326</v>
      </c>
      <c r="Z397">
        <v>-1435</v>
      </c>
      <c r="AA397">
        <v>37.39</v>
      </c>
      <c r="AB397" t="s">
        <v>3326</v>
      </c>
    </row>
    <row r="398" spans="1:28">
      <c r="A398">
        <v>360</v>
      </c>
      <c r="B398" t="s">
        <v>3436</v>
      </c>
      <c r="C398" t="s">
        <v>3326</v>
      </c>
      <c r="D398">
        <v>-1436</v>
      </c>
      <c r="F398">
        <v>55.34</v>
      </c>
      <c r="G398" t="s">
        <v>3326</v>
      </c>
      <c r="P398">
        <v>360</v>
      </c>
      <c r="Q398" t="s">
        <v>3451</v>
      </c>
      <c r="R398" t="s">
        <v>3327</v>
      </c>
      <c r="S398">
        <v>-204</v>
      </c>
      <c r="T398">
        <v>24.05</v>
      </c>
      <c r="U398" t="s">
        <v>3327</v>
      </c>
      <c r="W398">
        <v>360</v>
      </c>
      <c r="X398" t="s">
        <v>3436</v>
      </c>
      <c r="Y398" t="s">
        <v>3326</v>
      </c>
      <c r="Z398">
        <v>-1436</v>
      </c>
      <c r="AA398">
        <v>55.34</v>
      </c>
      <c r="AB398" t="s">
        <v>3326</v>
      </c>
    </row>
    <row r="399" spans="1:28">
      <c r="A399">
        <v>361</v>
      </c>
      <c r="B399" t="s">
        <v>3436</v>
      </c>
      <c r="C399" t="s">
        <v>3326</v>
      </c>
      <c r="D399">
        <v>-1437</v>
      </c>
      <c r="F399">
        <v>37.39</v>
      </c>
      <c r="G399" t="s">
        <v>3326</v>
      </c>
      <c r="P399">
        <v>361</v>
      </c>
      <c r="Q399" t="s">
        <v>3451</v>
      </c>
      <c r="R399" t="s">
        <v>3327</v>
      </c>
      <c r="S399">
        <v>-205</v>
      </c>
      <c r="T399">
        <v>25.51</v>
      </c>
      <c r="U399" t="s">
        <v>3327</v>
      </c>
      <c r="W399">
        <v>361</v>
      </c>
      <c r="X399" t="s">
        <v>3436</v>
      </c>
      <c r="Y399" t="s">
        <v>3326</v>
      </c>
      <c r="Z399">
        <v>-1437</v>
      </c>
      <c r="AA399">
        <v>37.39</v>
      </c>
      <c r="AB399" t="s">
        <v>3326</v>
      </c>
    </row>
    <row r="400" spans="1:28">
      <c r="A400">
        <v>362</v>
      </c>
      <c r="B400" t="s">
        <v>3436</v>
      </c>
      <c r="C400" t="s">
        <v>3326</v>
      </c>
      <c r="D400">
        <v>-1438</v>
      </c>
      <c r="F400">
        <v>37.39</v>
      </c>
      <c r="G400" t="s">
        <v>3326</v>
      </c>
      <c r="P400">
        <v>362</v>
      </c>
      <c r="Q400" t="s">
        <v>3451</v>
      </c>
      <c r="R400" t="s">
        <v>3327</v>
      </c>
      <c r="S400">
        <v>-206</v>
      </c>
      <c r="T400">
        <v>25.51</v>
      </c>
      <c r="U400" t="s">
        <v>3327</v>
      </c>
      <c r="W400">
        <v>362</v>
      </c>
      <c r="X400" t="s">
        <v>3436</v>
      </c>
      <c r="Y400" t="s">
        <v>3326</v>
      </c>
      <c r="Z400">
        <v>-1438</v>
      </c>
      <c r="AA400">
        <v>37.39</v>
      </c>
      <c r="AB400" t="s">
        <v>3326</v>
      </c>
    </row>
    <row r="401" spans="1:28">
      <c r="A401">
        <v>363</v>
      </c>
      <c r="B401" t="s">
        <v>3436</v>
      </c>
      <c r="C401" t="s">
        <v>3326</v>
      </c>
      <c r="D401">
        <v>-1439</v>
      </c>
      <c r="F401">
        <v>37.39</v>
      </c>
      <c r="G401" t="s">
        <v>3326</v>
      </c>
      <c r="P401">
        <v>363</v>
      </c>
      <c r="Q401" t="s">
        <v>3451</v>
      </c>
      <c r="R401" t="s">
        <v>3327</v>
      </c>
      <c r="S401">
        <v>-207</v>
      </c>
      <c r="T401">
        <v>24.05</v>
      </c>
      <c r="U401" t="s">
        <v>3327</v>
      </c>
      <c r="W401">
        <v>363</v>
      </c>
      <c r="X401" t="s">
        <v>3436</v>
      </c>
      <c r="Y401" t="s">
        <v>3326</v>
      </c>
      <c r="Z401">
        <v>-1439</v>
      </c>
      <c r="AA401">
        <v>37.39</v>
      </c>
      <c r="AB401" t="s">
        <v>3326</v>
      </c>
    </row>
    <row r="402" spans="1:28">
      <c r="A402">
        <v>364</v>
      </c>
      <c r="B402" t="s">
        <v>3436</v>
      </c>
      <c r="C402" t="s">
        <v>3326</v>
      </c>
      <c r="D402">
        <v>-1440</v>
      </c>
      <c r="F402">
        <v>37.39</v>
      </c>
      <c r="G402" t="s">
        <v>3326</v>
      </c>
      <c r="P402">
        <v>364</v>
      </c>
      <c r="Q402" t="s">
        <v>3451</v>
      </c>
      <c r="R402" t="s">
        <v>3327</v>
      </c>
      <c r="S402">
        <v>-208</v>
      </c>
      <c r="T402">
        <v>24.05</v>
      </c>
      <c r="U402" t="s">
        <v>3327</v>
      </c>
      <c r="W402">
        <v>364</v>
      </c>
      <c r="X402" t="s">
        <v>3436</v>
      </c>
      <c r="Y402" t="s">
        <v>3326</v>
      </c>
      <c r="Z402">
        <v>-1440</v>
      </c>
      <c r="AA402">
        <v>37.39</v>
      </c>
      <c r="AB402" t="s">
        <v>3326</v>
      </c>
    </row>
    <row r="403" spans="1:28">
      <c r="A403">
        <v>365</v>
      </c>
      <c r="B403" t="s">
        <v>3436</v>
      </c>
      <c r="C403" t="s">
        <v>3326</v>
      </c>
      <c r="D403">
        <v>-1441</v>
      </c>
      <c r="F403">
        <v>37.39</v>
      </c>
      <c r="G403" t="s">
        <v>3326</v>
      </c>
      <c r="P403">
        <v>365</v>
      </c>
      <c r="Q403" t="s">
        <v>3451</v>
      </c>
      <c r="R403" t="s">
        <v>3327</v>
      </c>
      <c r="S403">
        <v>-209</v>
      </c>
      <c r="T403">
        <v>31.7</v>
      </c>
      <c r="U403" t="s">
        <v>3327</v>
      </c>
      <c r="W403">
        <v>365</v>
      </c>
      <c r="X403" t="s">
        <v>3436</v>
      </c>
      <c r="Y403" t="s">
        <v>3326</v>
      </c>
      <c r="Z403">
        <v>-1441</v>
      </c>
      <c r="AA403">
        <v>37.39</v>
      </c>
      <c r="AB403" t="s">
        <v>3326</v>
      </c>
    </row>
    <row r="404" spans="1:28">
      <c r="A404">
        <v>366</v>
      </c>
      <c r="B404" t="s">
        <v>3436</v>
      </c>
      <c r="C404" t="s">
        <v>3326</v>
      </c>
      <c r="D404">
        <v>-1442</v>
      </c>
      <c r="F404">
        <v>37.39</v>
      </c>
      <c r="G404" t="s">
        <v>3326</v>
      </c>
      <c r="P404">
        <v>366</v>
      </c>
      <c r="Q404" t="s">
        <v>3451</v>
      </c>
      <c r="R404" t="s">
        <v>3327</v>
      </c>
      <c r="S404">
        <v>-211</v>
      </c>
      <c r="T404">
        <v>22.65</v>
      </c>
      <c r="U404" t="s">
        <v>3327</v>
      </c>
      <c r="W404">
        <v>366</v>
      </c>
      <c r="X404" t="s">
        <v>3436</v>
      </c>
      <c r="Y404" t="s">
        <v>3326</v>
      </c>
      <c r="Z404">
        <v>-1442</v>
      </c>
      <c r="AA404">
        <v>37.39</v>
      </c>
      <c r="AB404" t="s">
        <v>3326</v>
      </c>
    </row>
    <row r="405" spans="1:28">
      <c r="A405">
        <v>367</v>
      </c>
      <c r="B405" t="s">
        <v>3436</v>
      </c>
      <c r="C405" t="s">
        <v>3326</v>
      </c>
      <c r="D405">
        <v>-1443</v>
      </c>
      <c r="F405">
        <v>37.39</v>
      </c>
      <c r="G405" t="s">
        <v>3326</v>
      </c>
      <c r="P405">
        <v>367</v>
      </c>
      <c r="Q405" t="s">
        <v>3451</v>
      </c>
      <c r="R405" t="s">
        <v>3327</v>
      </c>
      <c r="S405">
        <v>-212</v>
      </c>
      <c r="T405">
        <v>22.65</v>
      </c>
      <c r="U405" t="s">
        <v>3327</v>
      </c>
      <c r="W405">
        <v>367</v>
      </c>
      <c r="X405" t="s">
        <v>3436</v>
      </c>
      <c r="Y405" t="s">
        <v>3326</v>
      </c>
      <c r="Z405">
        <v>-1443</v>
      </c>
      <c r="AA405">
        <v>37.39</v>
      </c>
      <c r="AB405" t="s">
        <v>3326</v>
      </c>
    </row>
    <row r="406" spans="1:28">
      <c r="A406">
        <v>368</v>
      </c>
      <c r="B406" t="s">
        <v>3436</v>
      </c>
      <c r="C406" t="s">
        <v>3326</v>
      </c>
      <c r="D406">
        <v>-1444</v>
      </c>
      <c r="F406">
        <v>37.39</v>
      </c>
      <c r="G406" t="s">
        <v>3326</v>
      </c>
      <c r="P406">
        <v>368</v>
      </c>
      <c r="Q406" t="s">
        <v>3451</v>
      </c>
      <c r="R406" t="s">
        <v>3327</v>
      </c>
      <c r="S406">
        <v>-213</v>
      </c>
      <c r="T406">
        <v>22.65</v>
      </c>
      <c r="U406" t="s">
        <v>3327</v>
      </c>
      <c r="W406">
        <v>368</v>
      </c>
      <c r="X406" t="s">
        <v>3436</v>
      </c>
      <c r="Y406" t="s">
        <v>3326</v>
      </c>
      <c r="Z406">
        <v>-1444</v>
      </c>
      <c r="AA406">
        <v>37.39</v>
      </c>
      <c r="AB406" t="s">
        <v>3326</v>
      </c>
    </row>
    <row r="407" spans="1:28">
      <c r="A407">
        <v>369</v>
      </c>
      <c r="B407" t="s">
        <v>3436</v>
      </c>
      <c r="C407" t="s">
        <v>3326</v>
      </c>
      <c r="D407">
        <v>-1445</v>
      </c>
      <c r="F407">
        <v>37.39</v>
      </c>
      <c r="G407" t="s">
        <v>3326</v>
      </c>
      <c r="P407">
        <v>369</v>
      </c>
      <c r="Q407" t="s">
        <v>3451</v>
      </c>
      <c r="R407" t="s">
        <v>3327</v>
      </c>
      <c r="S407">
        <v>-214</v>
      </c>
      <c r="T407">
        <v>22.65</v>
      </c>
      <c r="U407" t="s">
        <v>3327</v>
      </c>
      <c r="W407">
        <v>369</v>
      </c>
      <c r="X407" t="s">
        <v>3436</v>
      </c>
      <c r="Y407" t="s">
        <v>3326</v>
      </c>
      <c r="Z407">
        <v>-1445</v>
      </c>
      <c r="AA407">
        <v>37.39</v>
      </c>
      <c r="AB407" t="s">
        <v>3326</v>
      </c>
    </row>
    <row r="408" spans="1:28">
      <c r="A408">
        <v>370</v>
      </c>
      <c r="B408" t="s">
        <v>3436</v>
      </c>
      <c r="C408" t="s">
        <v>3326</v>
      </c>
      <c r="D408">
        <v>-1446</v>
      </c>
      <c r="F408">
        <v>37.39</v>
      </c>
      <c r="G408" t="s">
        <v>3326</v>
      </c>
      <c r="P408">
        <v>370</v>
      </c>
      <c r="Q408" t="s">
        <v>3452</v>
      </c>
      <c r="R408" t="s">
        <v>3327</v>
      </c>
      <c r="S408">
        <v>-106</v>
      </c>
      <c r="T408">
        <v>33.86</v>
      </c>
      <c r="U408" t="s">
        <v>3327</v>
      </c>
      <c r="W408">
        <v>370</v>
      </c>
      <c r="X408" t="s">
        <v>3436</v>
      </c>
      <c r="Y408" t="s">
        <v>3326</v>
      </c>
      <c r="Z408">
        <v>-1446</v>
      </c>
      <c r="AA408">
        <v>37.39</v>
      </c>
      <c r="AB408" t="s">
        <v>3326</v>
      </c>
    </row>
    <row r="409" spans="1:28">
      <c r="A409">
        <v>371</v>
      </c>
      <c r="B409" t="s">
        <v>3436</v>
      </c>
      <c r="C409" t="s">
        <v>3326</v>
      </c>
      <c r="D409">
        <v>-1449</v>
      </c>
      <c r="F409">
        <v>37.39</v>
      </c>
      <c r="G409" t="s">
        <v>3326</v>
      </c>
      <c r="P409">
        <v>371</v>
      </c>
      <c r="Q409" t="s">
        <v>3452</v>
      </c>
      <c r="R409" t="s">
        <v>3327</v>
      </c>
      <c r="S409">
        <v>-107</v>
      </c>
      <c r="T409">
        <v>62.06</v>
      </c>
      <c r="U409" t="s">
        <v>3327</v>
      </c>
      <c r="W409">
        <v>371</v>
      </c>
      <c r="X409" t="s">
        <v>3436</v>
      </c>
      <c r="Y409" t="s">
        <v>3326</v>
      </c>
      <c r="Z409">
        <v>-1449</v>
      </c>
      <c r="AA409">
        <v>37.39</v>
      </c>
      <c r="AB409" t="s">
        <v>3326</v>
      </c>
    </row>
    <row r="410" spans="1:28">
      <c r="A410">
        <v>372</v>
      </c>
      <c r="B410" t="s">
        <v>3436</v>
      </c>
      <c r="C410" t="s">
        <v>3326</v>
      </c>
      <c r="D410">
        <v>-1450</v>
      </c>
      <c r="F410">
        <v>37.39</v>
      </c>
      <c r="G410" t="s">
        <v>3326</v>
      </c>
      <c r="P410">
        <v>372</v>
      </c>
      <c r="Q410" t="s">
        <v>3452</v>
      </c>
      <c r="R410" t="s">
        <v>3327</v>
      </c>
      <c r="S410">
        <v>-108</v>
      </c>
      <c r="T410">
        <v>47.05</v>
      </c>
      <c r="U410" t="s">
        <v>3327</v>
      </c>
      <c r="W410">
        <v>372</v>
      </c>
      <c r="X410" t="s">
        <v>3436</v>
      </c>
      <c r="Y410" t="s">
        <v>3326</v>
      </c>
      <c r="Z410">
        <v>-1450</v>
      </c>
      <c r="AA410">
        <v>37.39</v>
      </c>
      <c r="AB410" t="s">
        <v>3326</v>
      </c>
    </row>
    <row r="411" spans="1:28">
      <c r="A411">
        <v>373</v>
      </c>
      <c r="B411" t="s">
        <v>3436</v>
      </c>
      <c r="C411" t="s">
        <v>3326</v>
      </c>
      <c r="D411">
        <v>-1451</v>
      </c>
      <c r="F411">
        <v>37.39</v>
      </c>
      <c r="G411" t="s">
        <v>3326</v>
      </c>
      <c r="P411">
        <v>373</v>
      </c>
      <c r="Q411" t="s">
        <v>3452</v>
      </c>
      <c r="R411" t="s">
        <v>3327</v>
      </c>
      <c r="S411">
        <v>-109</v>
      </c>
      <c r="T411">
        <v>47.05</v>
      </c>
      <c r="U411" t="s">
        <v>3327</v>
      </c>
      <c r="W411">
        <v>373</v>
      </c>
      <c r="X411" t="s">
        <v>3436</v>
      </c>
      <c r="Y411" t="s">
        <v>3326</v>
      </c>
      <c r="Z411">
        <v>-1451</v>
      </c>
      <c r="AA411">
        <v>37.39</v>
      </c>
      <c r="AB411" t="s">
        <v>3326</v>
      </c>
    </row>
    <row r="412" spans="1:28">
      <c r="A412">
        <v>374</v>
      </c>
      <c r="B412" t="s">
        <v>3436</v>
      </c>
      <c r="C412" t="s">
        <v>3326</v>
      </c>
      <c r="D412">
        <v>-1452</v>
      </c>
      <c r="F412">
        <v>37.39</v>
      </c>
      <c r="G412" t="s">
        <v>3326</v>
      </c>
      <c r="P412">
        <v>374</v>
      </c>
      <c r="Q412" t="s">
        <v>3452</v>
      </c>
      <c r="R412" t="s">
        <v>3327</v>
      </c>
      <c r="S412">
        <v>-110</v>
      </c>
      <c r="T412">
        <v>62.06</v>
      </c>
      <c r="U412" t="s">
        <v>3327</v>
      </c>
      <c r="W412">
        <v>374</v>
      </c>
      <c r="X412" t="s">
        <v>3436</v>
      </c>
      <c r="Y412" t="s">
        <v>3326</v>
      </c>
      <c r="Z412">
        <v>-1452</v>
      </c>
      <c r="AA412">
        <v>37.39</v>
      </c>
      <c r="AB412" t="s">
        <v>3326</v>
      </c>
    </row>
    <row r="413" spans="1:28">
      <c r="A413">
        <v>375</v>
      </c>
      <c r="B413" t="s">
        <v>3436</v>
      </c>
      <c r="C413" t="s">
        <v>3326</v>
      </c>
      <c r="D413">
        <v>-1453</v>
      </c>
      <c r="F413">
        <v>37.39</v>
      </c>
      <c r="G413" t="s">
        <v>3326</v>
      </c>
      <c r="P413">
        <v>375</v>
      </c>
      <c r="Q413" t="s">
        <v>3452</v>
      </c>
      <c r="R413" t="s">
        <v>3327</v>
      </c>
      <c r="S413">
        <v>-111</v>
      </c>
      <c r="T413">
        <v>33.86</v>
      </c>
      <c r="U413" t="s">
        <v>3327</v>
      </c>
      <c r="W413">
        <v>375</v>
      </c>
      <c r="X413" t="s">
        <v>3436</v>
      </c>
      <c r="Y413" t="s">
        <v>3326</v>
      </c>
      <c r="Z413">
        <v>-1453</v>
      </c>
      <c r="AA413">
        <v>37.39</v>
      </c>
      <c r="AB413" t="s">
        <v>3326</v>
      </c>
    </row>
    <row r="414" spans="1:28">
      <c r="A414">
        <v>376</v>
      </c>
      <c r="B414" t="s">
        <v>3436</v>
      </c>
      <c r="C414" t="s">
        <v>3326</v>
      </c>
      <c r="D414">
        <v>-1454</v>
      </c>
      <c r="F414">
        <v>37.39</v>
      </c>
      <c r="G414" t="s">
        <v>3326</v>
      </c>
      <c r="P414">
        <v>376</v>
      </c>
      <c r="Q414" t="s">
        <v>3452</v>
      </c>
      <c r="R414" t="s">
        <v>3327</v>
      </c>
      <c r="S414">
        <v>-112</v>
      </c>
      <c r="T414">
        <v>33.86</v>
      </c>
      <c r="U414" t="s">
        <v>3327</v>
      </c>
      <c r="W414">
        <v>376</v>
      </c>
      <c r="X414" t="s">
        <v>3436</v>
      </c>
      <c r="Y414" t="s">
        <v>3326</v>
      </c>
      <c r="Z414">
        <v>-1454</v>
      </c>
      <c r="AA414">
        <v>37.39</v>
      </c>
      <c r="AB414" t="s">
        <v>3326</v>
      </c>
    </row>
    <row r="415" spans="1:28">
      <c r="A415">
        <v>377</v>
      </c>
      <c r="B415" t="s">
        <v>3436</v>
      </c>
      <c r="C415" t="s">
        <v>3326</v>
      </c>
      <c r="D415">
        <v>-1457</v>
      </c>
      <c r="F415">
        <v>37.39</v>
      </c>
      <c r="G415" t="s">
        <v>3326</v>
      </c>
      <c r="P415">
        <v>377</v>
      </c>
      <c r="Q415" t="s">
        <v>3452</v>
      </c>
      <c r="R415" t="s">
        <v>3327</v>
      </c>
      <c r="S415">
        <v>-113</v>
      </c>
      <c r="T415">
        <v>62.06</v>
      </c>
      <c r="U415" t="s">
        <v>3327</v>
      </c>
      <c r="W415">
        <v>377</v>
      </c>
      <c r="X415" t="s">
        <v>3436</v>
      </c>
      <c r="Y415" t="s">
        <v>3326</v>
      </c>
      <c r="Z415">
        <v>-1457</v>
      </c>
      <c r="AA415">
        <v>37.39</v>
      </c>
      <c r="AB415" t="s">
        <v>3326</v>
      </c>
    </row>
    <row r="416" spans="1:28">
      <c r="A416">
        <v>378</v>
      </c>
      <c r="B416" t="s">
        <v>3436</v>
      </c>
      <c r="C416" t="s">
        <v>3326</v>
      </c>
      <c r="D416">
        <v>-1458</v>
      </c>
      <c r="F416">
        <v>37.39</v>
      </c>
      <c r="G416" t="s">
        <v>3326</v>
      </c>
      <c r="P416">
        <v>378</v>
      </c>
      <c r="Q416" t="s">
        <v>3452</v>
      </c>
      <c r="R416" t="s">
        <v>3327</v>
      </c>
      <c r="S416">
        <v>-114</v>
      </c>
      <c r="T416">
        <v>46.72</v>
      </c>
      <c r="U416" t="s">
        <v>3327</v>
      </c>
      <c r="W416">
        <v>378</v>
      </c>
      <c r="X416" t="s">
        <v>3436</v>
      </c>
      <c r="Y416" t="s">
        <v>3326</v>
      </c>
      <c r="Z416">
        <v>-1458</v>
      </c>
      <c r="AA416">
        <v>37.39</v>
      </c>
      <c r="AB416" t="s">
        <v>3326</v>
      </c>
    </row>
    <row r="417" spans="1:28">
      <c r="A417">
        <v>379</v>
      </c>
      <c r="B417" t="s">
        <v>3436</v>
      </c>
      <c r="C417" t="s">
        <v>3326</v>
      </c>
      <c r="D417">
        <v>-1459</v>
      </c>
      <c r="F417">
        <v>37.39</v>
      </c>
      <c r="G417" t="s">
        <v>3326</v>
      </c>
      <c r="P417">
        <v>379</v>
      </c>
      <c r="Q417" t="s">
        <v>3452</v>
      </c>
      <c r="R417" t="s">
        <v>3327</v>
      </c>
      <c r="S417">
        <v>-115</v>
      </c>
      <c r="T417">
        <v>46.72</v>
      </c>
      <c r="U417" t="s">
        <v>3327</v>
      </c>
      <c r="W417">
        <v>379</v>
      </c>
      <c r="X417" t="s">
        <v>3436</v>
      </c>
      <c r="Y417" t="s">
        <v>3326</v>
      </c>
      <c r="Z417">
        <v>-1459</v>
      </c>
      <c r="AA417">
        <v>37.39</v>
      </c>
      <c r="AB417" t="s">
        <v>3326</v>
      </c>
    </row>
    <row r="418" spans="1:28">
      <c r="A418">
        <v>380</v>
      </c>
      <c r="B418" t="s">
        <v>3436</v>
      </c>
      <c r="C418" t="s">
        <v>3326</v>
      </c>
      <c r="D418">
        <v>-1460</v>
      </c>
      <c r="F418">
        <v>37.39</v>
      </c>
      <c r="G418" t="s">
        <v>3326</v>
      </c>
      <c r="P418">
        <v>380</v>
      </c>
      <c r="Q418" t="s">
        <v>3452</v>
      </c>
      <c r="R418" t="s">
        <v>3327</v>
      </c>
      <c r="S418">
        <v>-116</v>
      </c>
      <c r="T418">
        <v>62.06</v>
      </c>
      <c r="U418" t="s">
        <v>3327</v>
      </c>
      <c r="W418">
        <v>380</v>
      </c>
      <c r="X418" t="s">
        <v>3436</v>
      </c>
      <c r="Y418" t="s">
        <v>3326</v>
      </c>
      <c r="Z418">
        <v>-1460</v>
      </c>
      <c r="AA418">
        <v>37.39</v>
      </c>
      <c r="AB418" t="s">
        <v>3326</v>
      </c>
    </row>
    <row r="419" spans="1:28">
      <c r="A419">
        <v>381</v>
      </c>
      <c r="B419" t="s">
        <v>3436</v>
      </c>
      <c r="C419" t="s">
        <v>3326</v>
      </c>
      <c r="D419">
        <v>-1461</v>
      </c>
      <c r="F419">
        <v>37.39</v>
      </c>
      <c r="G419" t="s">
        <v>3326</v>
      </c>
      <c r="P419">
        <v>381</v>
      </c>
      <c r="Q419" t="s">
        <v>3452</v>
      </c>
      <c r="R419" t="s">
        <v>3327</v>
      </c>
      <c r="S419">
        <v>-117</v>
      </c>
      <c r="T419">
        <v>33.86</v>
      </c>
      <c r="U419" t="s">
        <v>3327</v>
      </c>
      <c r="W419">
        <v>381</v>
      </c>
      <c r="X419" t="s">
        <v>3436</v>
      </c>
      <c r="Y419" t="s">
        <v>3326</v>
      </c>
      <c r="Z419">
        <v>-1461</v>
      </c>
      <c r="AA419">
        <v>37.39</v>
      </c>
      <c r="AB419" t="s">
        <v>3326</v>
      </c>
    </row>
    <row r="420" spans="1:28">
      <c r="A420">
        <v>382</v>
      </c>
      <c r="B420" t="s">
        <v>3436</v>
      </c>
      <c r="C420" t="s">
        <v>3326</v>
      </c>
      <c r="D420">
        <v>-1462</v>
      </c>
      <c r="F420">
        <v>37.39</v>
      </c>
      <c r="G420" t="s">
        <v>3326</v>
      </c>
      <c r="P420">
        <v>382</v>
      </c>
      <c r="Q420" t="s">
        <v>3452</v>
      </c>
      <c r="R420" t="s">
        <v>3327</v>
      </c>
      <c r="S420">
        <v>-118</v>
      </c>
      <c r="T420">
        <v>33.86</v>
      </c>
      <c r="U420" t="s">
        <v>3327</v>
      </c>
      <c r="W420">
        <v>382</v>
      </c>
      <c r="X420" t="s">
        <v>3436</v>
      </c>
      <c r="Y420" t="s">
        <v>3326</v>
      </c>
      <c r="Z420">
        <v>-1462</v>
      </c>
      <c r="AA420">
        <v>37.39</v>
      </c>
      <c r="AB420" t="s">
        <v>3326</v>
      </c>
    </row>
    <row r="421" spans="1:28">
      <c r="A421">
        <v>383</v>
      </c>
      <c r="B421" t="s">
        <v>3436</v>
      </c>
      <c r="C421" t="s">
        <v>3326</v>
      </c>
      <c r="D421">
        <v>-1463</v>
      </c>
      <c r="F421">
        <v>37.39</v>
      </c>
      <c r="G421" t="s">
        <v>3326</v>
      </c>
      <c r="P421">
        <v>383</v>
      </c>
      <c r="Q421" t="s">
        <v>3452</v>
      </c>
      <c r="R421" t="s">
        <v>3327</v>
      </c>
      <c r="S421">
        <v>-119</v>
      </c>
      <c r="T421">
        <v>62.34</v>
      </c>
      <c r="U421" t="s">
        <v>3327</v>
      </c>
      <c r="W421">
        <v>383</v>
      </c>
      <c r="X421" t="s">
        <v>3436</v>
      </c>
      <c r="Y421" t="s">
        <v>3326</v>
      </c>
      <c r="Z421">
        <v>-1463</v>
      </c>
      <c r="AA421">
        <v>37.39</v>
      </c>
      <c r="AB421" t="s">
        <v>3326</v>
      </c>
    </row>
    <row r="422" spans="1:28">
      <c r="A422">
        <v>384</v>
      </c>
      <c r="B422" t="s">
        <v>3436</v>
      </c>
      <c r="C422" t="s">
        <v>3326</v>
      </c>
      <c r="D422">
        <v>-1464</v>
      </c>
      <c r="F422">
        <v>37.39</v>
      </c>
      <c r="G422" t="s">
        <v>3326</v>
      </c>
      <c r="P422">
        <v>384</v>
      </c>
      <c r="Q422" t="s">
        <v>3452</v>
      </c>
      <c r="R422" t="s">
        <v>3327</v>
      </c>
      <c r="S422">
        <v>-120</v>
      </c>
      <c r="T422">
        <v>56.73</v>
      </c>
      <c r="U422" t="s">
        <v>3327</v>
      </c>
      <c r="W422">
        <v>384</v>
      </c>
      <c r="X422" t="s">
        <v>3436</v>
      </c>
      <c r="Y422" t="s">
        <v>3326</v>
      </c>
      <c r="Z422">
        <v>-1464</v>
      </c>
      <c r="AA422">
        <v>37.39</v>
      </c>
      <c r="AB422" t="s">
        <v>3326</v>
      </c>
    </row>
    <row r="423" spans="1:28">
      <c r="A423">
        <v>385</v>
      </c>
      <c r="B423" t="s">
        <v>3436</v>
      </c>
      <c r="C423" t="s">
        <v>3326</v>
      </c>
      <c r="D423">
        <v>-1465</v>
      </c>
      <c r="F423">
        <v>37.39</v>
      </c>
      <c r="G423" t="s">
        <v>3326</v>
      </c>
      <c r="P423">
        <v>385</v>
      </c>
      <c r="Q423" t="s">
        <v>3452</v>
      </c>
      <c r="R423" t="s">
        <v>3327</v>
      </c>
      <c r="S423">
        <v>-121</v>
      </c>
      <c r="T423">
        <v>30.59</v>
      </c>
      <c r="U423" t="s">
        <v>3327</v>
      </c>
      <c r="W423">
        <v>385</v>
      </c>
      <c r="X423" t="s">
        <v>3436</v>
      </c>
      <c r="Y423" t="s">
        <v>3326</v>
      </c>
      <c r="Z423">
        <v>-1465</v>
      </c>
      <c r="AA423">
        <v>37.39</v>
      </c>
      <c r="AB423" t="s">
        <v>3326</v>
      </c>
    </row>
    <row r="424" spans="1:28">
      <c r="A424">
        <v>386</v>
      </c>
      <c r="B424" t="s">
        <v>3436</v>
      </c>
      <c r="C424" t="s">
        <v>3326</v>
      </c>
      <c r="D424">
        <v>-1467</v>
      </c>
      <c r="F424">
        <v>37.39</v>
      </c>
      <c r="G424" t="s">
        <v>3326</v>
      </c>
      <c r="P424">
        <v>386</v>
      </c>
      <c r="Q424" t="s">
        <v>3452</v>
      </c>
      <c r="R424" t="s">
        <v>3327</v>
      </c>
      <c r="S424">
        <v>-122</v>
      </c>
      <c r="T424">
        <v>25.07</v>
      </c>
      <c r="U424" t="s">
        <v>3327</v>
      </c>
      <c r="W424">
        <v>386</v>
      </c>
      <c r="X424" t="s">
        <v>3436</v>
      </c>
      <c r="Y424" t="s">
        <v>3326</v>
      </c>
      <c r="Z424">
        <v>-1467</v>
      </c>
      <c r="AA424">
        <v>37.39</v>
      </c>
      <c r="AB424" t="s">
        <v>3326</v>
      </c>
    </row>
    <row r="425" spans="1:28">
      <c r="A425">
        <v>387</v>
      </c>
      <c r="B425" t="s">
        <v>3436</v>
      </c>
      <c r="C425" t="s">
        <v>3326</v>
      </c>
      <c r="D425">
        <v>-1469</v>
      </c>
      <c r="F425">
        <v>37.39</v>
      </c>
      <c r="G425" t="s">
        <v>3326</v>
      </c>
      <c r="P425">
        <v>387</v>
      </c>
      <c r="Q425" t="s">
        <v>3452</v>
      </c>
      <c r="R425" t="s">
        <v>3327</v>
      </c>
      <c r="S425">
        <v>-123</v>
      </c>
      <c r="T425">
        <v>28.37</v>
      </c>
      <c r="U425" t="s">
        <v>3327</v>
      </c>
      <c r="W425">
        <v>387</v>
      </c>
      <c r="X425" t="s">
        <v>3436</v>
      </c>
      <c r="Y425" t="s">
        <v>3326</v>
      </c>
      <c r="Z425">
        <v>-1469</v>
      </c>
      <c r="AA425">
        <v>37.39</v>
      </c>
      <c r="AB425" t="s">
        <v>3326</v>
      </c>
    </row>
    <row r="426" spans="1:28">
      <c r="A426">
        <v>388</v>
      </c>
      <c r="B426" t="s">
        <v>3436</v>
      </c>
      <c r="C426" t="s">
        <v>3326</v>
      </c>
      <c r="D426">
        <v>-1470</v>
      </c>
      <c r="F426">
        <v>37.39</v>
      </c>
      <c r="G426" t="s">
        <v>3326</v>
      </c>
      <c r="P426">
        <v>388</v>
      </c>
      <c r="Q426" t="s">
        <v>3452</v>
      </c>
      <c r="R426" t="s">
        <v>3327</v>
      </c>
      <c r="S426">
        <v>-124</v>
      </c>
      <c r="T426">
        <v>28.37</v>
      </c>
      <c r="U426" t="s">
        <v>3327</v>
      </c>
      <c r="W426">
        <v>388</v>
      </c>
      <c r="X426" t="s">
        <v>3436</v>
      </c>
      <c r="Y426" t="s">
        <v>3326</v>
      </c>
      <c r="Z426">
        <v>-1470</v>
      </c>
      <c r="AA426">
        <v>37.39</v>
      </c>
      <c r="AB426" t="s">
        <v>3326</v>
      </c>
    </row>
    <row r="427" spans="1:28">
      <c r="A427">
        <v>389</v>
      </c>
      <c r="B427" t="s">
        <v>3436</v>
      </c>
      <c r="C427" t="s">
        <v>3326</v>
      </c>
      <c r="D427">
        <v>-1471</v>
      </c>
      <c r="F427">
        <v>37.39</v>
      </c>
      <c r="G427" t="s">
        <v>3326</v>
      </c>
      <c r="P427">
        <v>389</v>
      </c>
      <c r="Q427" t="s">
        <v>3452</v>
      </c>
      <c r="R427" t="s">
        <v>3327</v>
      </c>
      <c r="S427">
        <v>-125</v>
      </c>
      <c r="T427">
        <v>22.18</v>
      </c>
      <c r="U427" t="s">
        <v>3327</v>
      </c>
      <c r="W427">
        <v>389</v>
      </c>
      <c r="X427" t="s">
        <v>3436</v>
      </c>
      <c r="Y427" t="s">
        <v>3326</v>
      </c>
      <c r="Z427">
        <v>-1471</v>
      </c>
      <c r="AA427">
        <v>37.39</v>
      </c>
      <c r="AB427" t="s">
        <v>3326</v>
      </c>
    </row>
    <row r="428" spans="1:28">
      <c r="A428">
        <v>390</v>
      </c>
      <c r="B428" t="s">
        <v>3436</v>
      </c>
      <c r="C428" t="s">
        <v>3326</v>
      </c>
      <c r="D428">
        <v>-1476</v>
      </c>
      <c r="F428">
        <v>37.39</v>
      </c>
      <c r="G428" t="s">
        <v>3326</v>
      </c>
      <c r="P428">
        <v>390</v>
      </c>
      <c r="Q428" t="s">
        <v>3452</v>
      </c>
      <c r="R428" t="s">
        <v>3327</v>
      </c>
      <c r="S428">
        <v>-126</v>
      </c>
      <c r="T428">
        <v>42.89</v>
      </c>
      <c r="U428" t="s">
        <v>3327</v>
      </c>
      <c r="W428">
        <v>390</v>
      </c>
      <c r="X428" t="s">
        <v>3436</v>
      </c>
      <c r="Y428" t="s">
        <v>3326</v>
      </c>
      <c r="Z428">
        <v>-1476</v>
      </c>
      <c r="AA428">
        <v>37.39</v>
      </c>
      <c r="AB428" t="s">
        <v>3326</v>
      </c>
    </row>
    <row r="429" spans="1:28">
      <c r="A429">
        <v>391</v>
      </c>
      <c r="B429" t="s">
        <v>3436</v>
      </c>
      <c r="C429" t="s">
        <v>3326</v>
      </c>
      <c r="D429">
        <v>-1479</v>
      </c>
      <c r="F429">
        <v>37.39</v>
      </c>
      <c r="G429" t="s">
        <v>3326</v>
      </c>
      <c r="P429">
        <v>391</v>
      </c>
      <c r="Q429" t="s">
        <v>3452</v>
      </c>
      <c r="R429" t="s">
        <v>3327</v>
      </c>
      <c r="S429">
        <v>-127</v>
      </c>
      <c r="T429">
        <v>42.81</v>
      </c>
      <c r="U429" t="s">
        <v>3327</v>
      </c>
      <c r="W429">
        <v>391</v>
      </c>
      <c r="X429" t="s">
        <v>3436</v>
      </c>
      <c r="Y429" t="s">
        <v>3326</v>
      </c>
      <c r="Z429">
        <v>-1479</v>
      </c>
      <c r="AA429">
        <v>37.39</v>
      </c>
      <c r="AB429" t="s">
        <v>3326</v>
      </c>
    </row>
    <row r="430" spans="1:28">
      <c r="A430">
        <v>392</v>
      </c>
      <c r="B430" t="s">
        <v>3436</v>
      </c>
      <c r="C430" t="s">
        <v>3326</v>
      </c>
      <c r="D430">
        <v>-1480</v>
      </c>
      <c r="F430">
        <v>37.39</v>
      </c>
      <c r="G430" t="s">
        <v>3326</v>
      </c>
      <c r="P430">
        <v>392</v>
      </c>
      <c r="Q430" t="s">
        <v>3452</v>
      </c>
      <c r="R430" t="s">
        <v>3327</v>
      </c>
      <c r="S430">
        <v>-202</v>
      </c>
      <c r="T430">
        <v>19.829999999999998</v>
      </c>
      <c r="U430" t="s">
        <v>3327</v>
      </c>
      <c r="W430">
        <v>392</v>
      </c>
      <c r="X430" t="s">
        <v>3436</v>
      </c>
      <c r="Y430" t="s">
        <v>3326</v>
      </c>
      <c r="Z430">
        <v>-1480</v>
      </c>
      <c r="AA430">
        <v>37.39</v>
      </c>
      <c r="AB430" t="s">
        <v>3326</v>
      </c>
    </row>
    <row r="431" spans="1:28">
      <c r="A431">
        <v>393</v>
      </c>
      <c r="B431" t="s">
        <v>3436</v>
      </c>
      <c r="C431" t="s">
        <v>3326</v>
      </c>
      <c r="D431">
        <v>-1481</v>
      </c>
      <c r="F431">
        <v>37.39</v>
      </c>
      <c r="G431" t="s">
        <v>3326</v>
      </c>
      <c r="P431">
        <v>393</v>
      </c>
      <c r="Q431" t="s">
        <v>3452</v>
      </c>
      <c r="R431" t="s">
        <v>3327</v>
      </c>
      <c r="S431">
        <v>-203</v>
      </c>
      <c r="T431">
        <v>19.829999999999998</v>
      </c>
      <c r="U431" t="s">
        <v>3327</v>
      </c>
      <c r="W431">
        <v>393</v>
      </c>
      <c r="X431" t="s">
        <v>3436</v>
      </c>
      <c r="Y431" t="s">
        <v>3326</v>
      </c>
      <c r="Z431">
        <v>-1481</v>
      </c>
      <c r="AA431">
        <v>37.39</v>
      </c>
      <c r="AB431" t="s">
        <v>3326</v>
      </c>
    </row>
    <row r="432" spans="1:28">
      <c r="A432">
        <v>394</v>
      </c>
      <c r="B432" t="s">
        <v>3436</v>
      </c>
      <c r="C432" t="s">
        <v>3326</v>
      </c>
      <c r="D432">
        <v>-1482</v>
      </c>
      <c r="F432">
        <v>37.39</v>
      </c>
      <c r="G432" t="s">
        <v>3326</v>
      </c>
      <c r="P432">
        <v>394</v>
      </c>
      <c r="Q432" t="s">
        <v>3452</v>
      </c>
      <c r="R432" t="s">
        <v>3327</v>
      </c>
      <c r="S432">
        <v>-204</v>
      </c>
      <c r="T432">
        <v>19.829999999999998</v>
      </c>
      <c r="U432" t="s">
        <v>3327</v>
      </c>
      <c r="W432">
        <v>394</v>
      </c>
      <c r="X432" t="s">
        <v>3436</v>
      </c>
      <c r="Y432" t="s">
        <v>3326</v>
      </c>
      <c r="Z432">
        <v>-1482</v>
      </c>
      <c r="AA432">
        <v>37.39</v>
      </c>
      <c r="AB432" t="s">
        <v>3326</v>
      </c>
    </row>
    <row r="433" spans="1:28">
      <c r="A433">
        <v>395</v>
      </c>
      <c r="B433" t="s">
        <v>3436</v>
      </c>
      <c r="C433" t="s">
        <v>3326</v>
      </c>
      <c r="D433">
        <v>-1483</v>
      </c>
      <c r="F433">
        <v>55.34</v>
      </c>
      <c r="G433" t="s">
        <v>3326</v>
      </c>
      <c r="P433">
        <v>395</v>
      </c>
      <c r="Q433" t="s">
        <v>3452</v>
      </c>
      <c r="R433" t="s">
        <v>3327</v>
      </c>
      <c r="S433">
        <v>-205</v>
      </c>
      <c r="T433">
        <v>19.829999999999998</v>
      </c>
      <c r="U433" t="s">
        <v>3327</v>
      </c>
      <c r="W433">
        <v>395</v>
      </c>
      <c r="X433" t="s">
        <v>3436</v>
      </c>
      <c r="Y433" t="s">
        <v>3326</v>
      </c>
      <c r="Z433">
        <v>-1483</v>
      </c>
      <c r="AA433">
        <v>55.34</v>
      </c>
      <c r="AB433" t="s">
        <v>3326</v>
      </c>
    </row>
    <row r="434" spans="1:28">
      <c r="A434">
        <v>396</v>
      </c>
      <c r="B434" t="s">
        <v>3436</v>
      </c>
      <c r="C434" t="s">
        <v>3326</v>
      </c>
      <c r="D434">
        <v>-1484</v>
      </c>
      <c r="F434">
        <v>37.39</v>
      </c>
      <c r="G434" t="s">
        <v>3326</v>
      </c>
      <c r="P434">
        <v>396</v>
      </c>
      <c r="Q434" t="s">
        <v>3452</v>
      </c>
      <c r="R434" t="s">
        <v>3327</v>
      </c>
      <c r="S434">
        <v>-206</v>
      </c>
      <c r="T434">
        <v>19.829999999999998</v>
      </c>
      <c r="U434" t="s">
        <v>3327</v>
      </c>
      <c r="W434">
        <v>396</v>
      </c>
      <c r="X434" t="s">
        <v>3436</v>
      </c>
      <c r="Y434" t="s">
        <v>3326</v>
      </c>
      <c r="Z434">
        <v>-1484</v>
      </c>
      <c r="AA434">
        <v>37.39</v>
      </c>
      <c r="AB434" t="s">
        <v>3326</v>
      </c>
    </row>
    <row r="435" spans="1:28">
      <c r="A435">
        <v>397</v>
      </c>
      <c r="B435" t="s">
        <v>3436</v>
      </c>
      <c r="C435" t="s">
        <v>3326</v>
      </c>
      <c r="D435">
        <v>-1485</v>
      </c>
      <c r="F435">
        <v>37.39</v>
      </c>
      <c r="G435" t="s">
        <v>3326</v>
      </c>
      <c r="P435">
        <v>397</v>
      </c>
      <c r="Q435" t="s">
        <v>3452</v>
      </c>
      <c r="R435" t="s">
        <v>3327</v>
      </c>
      <c r="S435">
        <v>-207</v>
      </c>
      <c r="T435">
        <v>23.63</v>
      </c>
      <c r="U435" t="s">
        <v>3327</v>
      </c>
      <c r="W435">
        <v>397</v>
      </c>
      <c r="X435" t="s">
        <v>3436</v>
      </c>
      <c r="Y435" t="s">
        <v>3326</v>
      </c>
      <c r="Z435">
        <v>-1485</v>
      </c>
      <c r="AA435">
        <v>37.39</v>
      </c>
      <c r="AB435" t="s">
        <v>3326</v>
      </c>
    </row>
    <row r="436" spans="1:28">
      <c r="A436">
        <v>398</v>
      </c>
      <c r="B436" t="s">
        <v>3436</v>
      </c>
      <c r="C436" t="s">
        <v>3326</v>
      </c>
      <c r="D436">
        <v>-1487</v>
      </c>
      <c r="F436">
        <v>37.39</v>
      </c>
      <c r="G436" t="s">
        <v>3326</v>
      </c>
      <c r="P436">
        <v>398</v>
      </c>
      <c r="Q436" t="s">
        <v>3452</v>
      </c>
      <c r="R436" t="s">
        <v>3327</v>
      </c>
      <c r="S436">
        <v>-208</v>
      </c>
      <c r="T436">
        <v>14.96</v>
      </c>
      <c r="U436" t="s">
        <v>3327</v>
      </c>
      <c r="W436">
        <v>398</v>
      </c>
      <c r="X436" t="s">
        <v>3436</v>
      </c>
      <c r="Y436" t="s">
        <v>3326</v>
      </c>
      <c r="Z436">
        <v>-1487</v>
      </c>
      <c r="AA436">
        <v>37.39</v>
      </c>
      <c r="AB436" t="s">
        <v>3326</v>
      </c>
    </row>
    <row r="437" spans="1:28">
      <c r="A437">
        <v>399</v>
      </c>
      <c r="B437" t="s">
        <v>3436</v>
      </c>
      <c r="C437" t="s">
        <v>3326</v>
      </c>
      <c r="D437">
        <v>-1488</v>
      </c>
      <c r="F437">
        <v>37.39</v>
      </c>
      <c r="G437" t="s">
        <v>3326</v>
      </c>
      <c r="P437">
        <v>399</v>
      </c>
      <c r="Q437" t="s">
        <v>3453</v>
      </c>
      <c r="R437" t="s">
        <v>3327</v>
      </c>
      <c r="S437">
        <v>-101</v>
      </c>
      <c r="T437">
        <v>24.3</v>
      </c>
      <c r="U437" t="s">
        <v>3327</v>
      </c>
      <c r="W437">
        <v>399</v>
      </c>
      <c r="X437" t="s">
        <v>3436</v>
      </c>
      <c r="Y437" t="s">
        <v>3326</v>
      </c>
      <c r="Z437">
        <v>-1488</v>
      </c>
      <c r="AA437">
        <v>37.39</v>
      </c>
      <c r="AB437" t="s">
        <v>3326</v>
      </c>
    </row>
    <row r="438" spans="1:28">
      <c r="A438">
        <v>400</v>
      </c>
      <c r="B438" t="s">
        <v>3436</v>
      </c>
      <c r="C438" t="s">
        <v>3326</v>
      </c>
      <c r="D438">
        <v>-1489</v>
      </c>
      <c r="F438">
        <v>37.39</v>
      </c>
      <c r="G438" t="s">
        <v>3326</v>
      </c>
      <c r="P438">
        <v>400</v>
      </c>
      <c r="Q438" t="s">
        <v>3453</v>
      </c>
      <c r="R438" t="s">
        <v>3327</v>
      </c>
      <c r="S438">
        <v>-102</v>
      </c>
      <c r="T438">
        <v>30.33</v>
      </c>
      <c r="U438" t="s">
        <v>3327</v>
      </c>
      <c r="W438">
        <v>400</v>
      </c>
      <c r="X438" t="s">
        <v>3436</v>
      </c>
      <c r="Y438" t="s">
        <v>3326</v>
      </c>
      <c r="Z438">
        <v>-1489</v>
      </c>
      <c r="AA438">
        <v>37.39</v>
      </c>
      <c r="AB438" t="s">
        <v>3326</v>
      </c>
    </row>
    <row r="439" spans="1:28">
      <c r="A439">
        <v>401</v>
      </c>
      <c r="B439" t="s">
        <v>3436</v>
      </c>
      <c r="C439" t="s">
        <v>3326</v>
      </c>
      <c r="D439">
        <v>-1490</v>
      </c>
      <c r="F439">
        <v>37.39</v>
      </c>
      <c r="G439" t="s">
        <v>3326</v>
      </c>
      <c r="P439">
        <v>401</v>
      </c>
      <c r="Q439" t="s">
        <v>3453</v>
      </c>
      <c r="R439" t="s">
        <v>3327</v>
      </c>
      <c r="S439">
        <v>-103</v>
      </c>
      <c r="T439">
        <v>56.23</v>
      </c>
      <c r="U439" t="s">
        <v>3327</v>
      </c>
      <c r="W439">
        <v>401</v>
      </c>
      <c r="X439" t="s">
        <v>3436</v>
      </c>
      <c r="Y439" t="s">
        <v>3326</v>
      </c>
      <c r="Z439">
        <v>-1490</v>
      </c>
      <c r="AA439">
        <v>37.39</v>
      </c>
      <c r="AB439" t="s">
        <v>3326</v>
      </c>
    </row>
    <row r="440" spans="1:28">
      <c r="A440">
        <v>402</v>
      </c>
      <c r="B440" t="s">
        <v>3436</v>
      </c>
      <c r="C440" t="s">
        <v>3326</v>
      </c>
      <c r="D440">
        <v>-1491</v>
      </c>
      <c r="F440">
        <v>37.39</v>
      </c>
      <c r="G440" t="s">
        <v>3326</v>
      </c>
      <c r="P440">
        <v>402</v>
      </c>
      <c r="Q440" t="s">
        <v>3453</v>
      </c>
      <c r="R440" t="s">
        <v>3327</v>
      </c>
      <c r="S440">
        <v>-104</v>
      </c>
      <c r="T440">
        <v>61.8</v>
      </c>
      <c r="U440" t="s">
        <v>3327</v>
      </c>
      <c r="W440">
        <v>402</v>
      </c>
      <c r="X440" t="s">
        <v>3436</v>
      </c>
      <c r="Y440" t="s">
        <v>3326</v>
      </c>
      <c r="Z440">
        <v>-1491</v>
      </c>
      <c r="AA440">
        <v>37.39</v>
      </c>
      <c r="AB440" t="s">
        <v>3326</v>
      </c>
    </row>
    <row r="441" spans="1:28">
      <c r="A441">
        <v>403</v>
      </c>
      <c r="B441" t="s">
        <v>3436</v>
      </c>
      <c r="C441" t="s">
        <v>3326</v>
      </c>
      <c r="D441">
        <v>-1492</v>
      </c>
      <c r="F441">
        <v>37.39</v>
      </c>
      <c r="G441" t="s">
        <v>3326</v>
      </c>
      <c r="P441">
        <v>403</v>
      </c>
      <c r="Q441" t="s">
        <v>3453</v>
      </c>
      <c r="R441" t="s">
        <v>3327</v>
      </c>
      <c r="S441">
        <v>-105</v>
      </c>
      <c r="T441">
        <v>33.21</v>
      </c>
      <c r="U441" t="s">
        <v>3327</v>
      </c>
      <c r="W441">
        <v>403</v>
      </c>
      <c r="X441" t="s">
        <v>3436</v>
      </c>
      <c r="Y441" t="s">
        <v>3326</v>
      </c>
      <c r="Z441">
        <v>-1492</v>
      </c>
      <c r="AA441">
        <v>37.39</v>
      </c>
      <c r="AB441" t="s">
        <v>3326</v>
      </c>
    </row>
    <row r="442" spans="1:28">
      <c r="A442">
        <v>404</v>
      </c>
      <c r="B442" t="s">
        <v>3436</v>
      </c>
      <c r="C442" t="s">
        <v>3326</v>
      </c>
      <c r="D442">
        <v>-1493</v>
      </c>
      <c r="F442">
        <v>37.39</v>
      </c>
      <c r="G442" t="s">
        <v>3326</v>
      </c>
      <c r="P442">
        <v>404</v>
      </c>
      <c r="Q442" t="s">
        <v>3453</v>
      </c>
      <c r="R442" t="s">
        <v>3327</v>
      </c>
      <c r="S442">
        <v>-106</v>
      </c>
      <c r="T442">
        <v>33.21</v>
      </c>
      <c r="U442" t="s">
        <v>3327</v>
      </c>
      <c r="W442">
        <v>404</v>
      </c>
      <c r="X442" t="s">
        <v>3436</v>
      </c>
      <c r="Y442" t="s">
        <v>3326</v>
      </c>
      <c r="Z442">
        <v>-1493</v>
      </c>
      <c r="AA442">
        <v>37.39</v>
      </c>
      <c r="AB442" t="s">
        <v>3326</v>
      </c>
    </row>
    <row r="443" spans="1:28">
      <c r="A443">
        <v>405</v>
      </c>
      <c r="B443" t="s">
        <v>3436</v>
      </c>
      <c r="C443" t="s">
        <v>3326</v>
      </c>
      <c r="D443">
        <v>-1494</v>
      </c>
      <c r="F443">
        <v>37.39</v>
      </c>
      <c r="G443" t="s">
        <v>3326</v>
      </c>
      <c r="P443">
        <v>405</v>
      </c>
      <c r="Q443" t="s">
        <v>3453</v>
      </c>
      <c r="R443" t="s">
        <v>3327</v>
      </c>
      <c r="S443">
        <v>-107</v>
      </c>
      <c r="T443">
        <v>61.52</v>
      </c>
      <c r="U443" t="s">
        <v>3327</v>
      </c>
      <c r="W443">
        <v>405</v>
      </c>
      <c r="X443" t="s">
        <v>3436</v>
      </c>
      <c r="Y443" t="s">
        <v>3326</v>
      </c>
      <c r="Z443">
        <v>-1494</v>
      </c>
      <c r="AA443">
        <v>37.39</v>
      </c>
      <c r="AB443" t="s">
        <v>3326</v>
      </c>
    </row>
    <row r="444" spans="1:28">
      <c r="A444">
        <v>406</v>
      </c>
      <c r="B444" t="s">
        <v>3436</v>
      </c>
      <c r="C444" t="s">
        <v>3326</v>
      </c>
      <c r="D444">
        <v>-1495</v>
      </c>
      <c r="F444">
        <v>37.39</v>
      </c>
      <c r="G444" t="s">
        <v>3326</v>
      </c>
      <c r="P444">
        <v>406</v>
      </c>
      <c r="Q444" t="s">
        <v>3453</v>
      </c>
      <c r="R444" t="s">
        <v>3327</v>
      </c>
      <c r="S444">
        <v>-108</v>
      </c>
      <c r="T444">
        <v>46.65</v>
      </c>
      <c r="U444" t="s">
        <v>3327</v>
      </c>
      <c r="W444">
        <v>406</v>
      </c>
      <c r="X444" t="s">
        <v>3436</v>
      </c>
      <c r="Y444" t="s">
        <v>3326</v>
      </c>
      <c r="Z444">
        <v>-1495</v>
      </c>
      <c r="AA444">
        <v>37.39</v>
      </c>
      <c r="AB444" t="s">
        <v>3326</v>
      </c>
    </row>
    <row r="445" spans="1:28">
      <c r="A445">
        <v>407</v>
      </c>
      <c r="B445" t="s">
        <v>3436</v>
      </c>
      <c r="C445" t="s">
        <v>3326</v>
      </c>
      <c r="D445">
        <v>-1497</v>
      </c>
      <c r="F445">
        <v>37.39</v>
      </c>
      <c r="G445" t="s">
        <v>3326</v>
      </c>
      <c r="P445">
        <v>407</v>
      </c>
      <c r="Q445" t="s">
        <v>3453</v>
      </c>
      <c r="R445" t="s">
        <v>3327</v>
      </c>
      <c r="S445">
        <v>-109</v>
      </c>
      <c r="T445">
        <v>46.65</v>
      </c>
      <c r="U445" t="s">
        <v>3327</v>
      </c>
      <c r="W445">
        <v>407</v>
      </c>
      <c r="X445" t="s">
        <v>3436</v>
      </c>
      <c r="Y445" t="s">
        <v>3326</v>
      </c>
      <c r="Z445">
        <v>-1497</v>
      </c>
      <c r="AA445">
        <v>37.39</v>
      </c>
      <c r="AB445" t="s">
        <v>3326</v>
      </c>
    </row>
    <row r="446" spans="1:28">
      <c r="A446">
        <v>408</v>
      </c>
      <c r="B446" t="s">
        <v>3436</v>
      </c>
      <c r="C446" t="s">
        <v>3326</v>
      </c>
      <c r="D446">
        <v>-1500</v>
      </c>
      <c r="F446">
        <v>37.39</v>
      </c>
      <c r="G446" t="s">
        <v>3326</v>
      </c>
      <c r="P446">
        <v>408</v>
      </c>
      <c r="Q446" t="s">
        <v>3453</v>
      </c>
      <c r="R446" t="s">
        <v>3327</v>
      </c>
      <c r="S446">
        <v>-110</v>
      </c>
      <c r="T446">
        <v>61.52</v>
      </c>
      <c r="U446" t="s">
        <v>3327</v>
      </c>
      <c r="W446">
        <v>408</v>
      </c>
      <c r="X446" t="s">
        <v>3436</v>
      </c>
      <c r="Y446" t="s">
        <v>3326</v>
      </c>
      <c r="Z446">
        <v>-1500</v>
      </c>
      <c r="AA446">
        <v>37.39</v>
      </c>
      <c r="AB446" t="s">
        <v>3326</v>
      </c>
    </row>
    <row r="447" spans="1:28">
      <c r="A447">
        <v>409</v>
      </c>
      <c r="B447" t="s">
        <v>3436</v>
      </c>
      <c r="C447" t="s">
        <v>3326</v>
      </c>
      <c r="D447">
        <v>-1501</v>
      </c>
      <c r="F447">
        <v>37.39</v>
      </c>
      <c r="G447" t="s">
        <v>3326</v>
      </c>
      <c r="P447">
        <v>409</v>
      </c>
      <c r="Q447" t="s">
        <v>3453</v>
      </c>
      <c r="R447" t="s">
        <v>3327</v>
      </c>
      <c r="S447">
        <v>-111</v>
      </c>
      <c r="T447">
        <v>33.21</v>
      </c>
      <c r="U447" t="s">
        <v>3327</v>
      </c>
      <c r="W447">
        <v>409</v>
      </c>
      <c r="X447" t="s">
        <v>3436</v>
      </c>
      <c r="Y447" t="s">
        <v>3326</v>
      </c>
      <c r="Z447">
        <v>-1501</v>
      </c>
      <c r="AA447">
        <v>37.39</v>
      </c>
      <c r="AB447" t="s">
        <v>3326</v>
      </c>
    </row>
    <row r="448" spans="1:28">
      <c r="A448">
        <v>410</v>
      </c>
      <c r="B448" t="s">
        <v>3436</v>
      </c>
      <c r="C448" t="s">
        <v>3326</v>
      </c>
      <c r="D448">
        <v>-1502</v>
      </c>
      <c r="F448">
        <v>37.39</v>
      </c>
      <c r="G448" t="s">
        <v>3326</v>
      </c>
      <c r="P448">
        <v>410</v>
      </c>
      <c r="Q448" t="s">
        <v>3453</v>
      </c>
      <c r="R448" t="s">
        <v>3327</v>
      </c>
      <c r="S448">
        <v>-112</v>
      </c>
      <c r="T448">
        <v>33.21</v>
      </c>
      <c r="U448" t="s">
        <v>3327</v>
      </c>
      <c r="W448">
        <v>410</v>
      </c>
      <c r="X448" t="s">
        <v>3436</v>
      </c>
      <c r="Y448" t="s">
        <v>3326</v>
      </c>
      <c r="Z448">
        <v>-1502</v>
      </c>
      <c r="AA448">
        <v>37.39</v>
      </c>
      <c r="AB448" t="s">
        <v>3326</v>
      </c>
    </row>
    <row r="449" spans="1:28">
      <c r="A449">
        <v>411</v>
      </c>
      <c r="B449" t="s">
        <v>3436</v>
      </c>
      <c r="C449" t="s">
        <v>3326</v>
      </c>
      <c r="D449">
        <v>-1503</v>
      </c>
      <c r="F449">
        <v>37.39</v>
      </c>
      <c r="G449" t="s">
        <v>3326</v>
      </c>
      <c r="P449">
        <v>411</v>
      </c>
      <c r="Q449" t="s">
        <v>3453</v>
      </c>
      <c r="R449" t="s">
        <v>3327</v>
      </c>
      <c r="S449">
        <v>-113</v>
      </c>
      <c r="T449">
        <v>61.52</v>
      </c>
      <c r="U449" t="s">
        <v>3327</v>
      </c>
      <c r="W449">
        <v>411</v>
      </c>
      <c r="X449" t="s">
        <v>3436</v>
      </c>
      <c r="Y449" t="s">
        <v>3326</v>
      </c>
      <c r="Z449">
        <v>-1503</v>
      </c>
      <c r="AA449">
        <v>37.39</v>
      </c>
      <c r="AB449" t="s">
        <v>3326</v>
      </c>
    </row>
    <row r="450" spans="1:28">
      <c r="A450">
        <v>412</v>
      </c>
      <c r="B450" t="s">
        <v>3436</v>
      </c>
      <c r="C450" t="s">
        <v>3326</v>
      </c>
      <c r="D450">
        <v>-1504</v>
      </c>
      <c r="F450">
        <v>37.39</v>
      </c>
      <c r="G450" t="s">
        <v>3326</v>
      </c>
      <c r="P450">
        <v>412</v>
      </c>
      <c r="Q450" t="s">
        <v>3453</v>
      </c>
      <c r="R450" t="s">
        <v>3327</v>
      </c>
      <c r="S450">
        <v>-114</v>
      </c>
      <c r="T450">
        <v>46.32</v>
      </c>
      <c r="U450" t="s">
        <v>3327</v>
      </c>
      <c r="W450">
        <v>412</v>
      </c>
      <c r="X450" t="s">
        <v>3436</v>
      </c>
      <c r="Y450" t="s">
        <v>3326</v>
      </c>
      <c r="Z450">
        <v>-1504</v>
      </c>
      <c r="AA450">
        <v>37.39</v>
      </c>
      <c r="AB450" t="s">
        <v>3326</v>
      </c>
    </row>
    <row r="451" spans="1:28">
      <c r="A451">
        <v>413</v>
      </c>
      <c r="B451" t="s">
        <v>3436</v>
      </c>
      <c r="C451" t="s">
        <v>3326</v>
      </c>
      <c r="D451">
        <v>-1505</v>
      </c>
      <c r="F451">
        <v>37.39</v>
      </c>
      <c r="G451" t="s">
        <v>3326</v>
      </c>
      <c r="P451">
        <v>413</v>
      </c>
      <c r="Q451" t="s">
        <v>3453</v>
      </c>
      <c r="R451" t="s">
        <v>3327</v>
      </c>
      <c r="S451">
        <v>-123</v>
      </c>
      <c r="T451">
        <v>28.12</v>
      </c>
      <c r="U451" t="s">
        <v>3327</v>
      </c>
      <c r="W451">
        <v>413</v>
      </c>
      <c r="X451" t="s">
        <v>3436</v>
      </c>
      <c r="Y451" t="s">
        <v>3326</v>
      </c>
      <c r="Z451">
        <v>-1505</v>
      </c>
      <c r="AA451">
        <v>37.39</v>
      </c>
      <c r="AB451" t="s">
        <v>3326</v>
      </c>
    </row>
    <row r="452" spans="1:28">
      <c r="A452">
        <v>414</v>
      </c>
      <c r="B452" t="s">
        <v>3436</v>
      </c>
      <c r="C452" t="s">
        <v>3326</v>
      </c>
      <c r="D452">
        <v>-1506</v>
      </c>
      <c r="F452">
        <v>37.39</v>
      </c>
      <c r="G452" t="s">
        <v>3326</v>
      </c>
      <c r="P452">
        <v>414</v>
      </c>
      <c r="Q452" t="s">
        <v>3453</v>
      </c>
      <c r="R452" t="s">
        <v>3327</v>
      </c>
      <c r="S452">
        <v>-124</v>
      </c>
      <c r="T452">
        <v>32.770000000000003</v>
      </c>
      <c r="U452" t="s">
        <v>3327</v>
      </c>
      <c r="W452">
        <v>414</v>
      </c>
      <c r="X452" t="s">
        <v>3436</v>
      </c>
      <c r="Y452" t="s">
        <v>3326</v>
      </c>
      <c r="Z452">
        <v>-1506</v>
      </c>
      <c r="AA452">
        <v>37.39</v>
      </c>
      <c r="AB452" t="s">
        <v>3326</v>
      </c>
    </row>
    <row r="453" spans="1:28">
      <c r="A453">
        <v>415</v>
      </c>
      <c r="B453" t="s">
        <v>3436</v>
      </c>
      <c r="C453" t="s">
        <v>3326</v>
      </c>
      <c r="D453">
        <v>-1507</v>
      </c>
      <c r="F453">
        <v>37.39</v>
      </c>
      <c r="G453" t="s">
        <v>3326</v>
      </c>
      <c r="P453">
        <v>415</v>
      </c>
      <c r="Q453" t="s">
        <v>3453</v>
      </c>
      <c r="R453" t="s">
        <v>3327</v>
      </c>
      <c r="S453">
        <v>-125</v>
      </c>
      <c r="T453">
        <v>21.44</v>
      </c>
      <c r="U453" t="s">
        <v>3327</v>
      </c>
      <c r="W453">
        <v>415</v>
      </c>
      <c r="X453" t="s">
        <v>3436</v>
      </c>
      <c r="Y453" t="s">
        <v>3326</v>
      </c>
      <c r="Z453">
        <v>-1507</v>
      </c>
      <c r="AA453">
        <v>37.39</v>
      </c>
      <c r="AB453" t="s">
        <v>3326</v>
      </c>
    </row>
    <row r="454" spans="1:28">
      <c r="A454">
        <v>416</v>
      </c>
      <c r="B454" t="s">
        <v>3436</v>
      </c>
      <c r="C454" t="s">
        <v>3326</v>
      </c>
      <c r="D454">
        <v>-1508</v>
      </c>
      <c r="F454">
        <v>37.39</v>
      </c>
      <c r="G454" t="s">
        <v>3326</v>
      </c>
      <c r="P454">
        <v>416</v>
      </c>
      <c r="Q454" t="s">
        <v>3453</v>
      </c>
      <c r="R454" t="s">
        <v>3327</v>
      </c>
      <c r="S454">
        <v>-126</v>
      </c>
      <c r="T454">
        <v>42.48</v>
      </c>
      <c r="U454" t="s">
        <v>3327</v>
      </c>
      <c r="W454">
        <v>416</v>
      </c>
      <c r="X454" t="s">
        <v>3436</v>
      </c>
      <c r="Y454" t="s">
        <v>3326</v>
      </c>
      <c r="Z454">
        <v>-1508</v>
      </c>
      <c r="AA454">
        <v>37.39</v>
      </c>
      <c r="AB454" t="s">
        <v>3326</v>
      </c>
    </row>
    <row r="455" spans="1:28">
      <c r="A455">
        <v>417</v>
      </c>
      <c r="B455" t="s">
        <v>3436</v>
      </c>
      <c r="C455" t="s">
        <v>3326</v>
      </c>
      <c r="D455">
        <v>-1509</v>
      </c>
      <c r="F455">
        <v>37.39</v>
      </c>
      <c r="G455" t="s">
        <v>3326</v>
      </c>
      <c r="P455">
        <v>417</v>
      </c>
      <c r="Q455" t="s">
        <v>3453</v>
      </c>
      <c r="R455" t="s">
        <v>3327</v>
      </c>
      <c r="S455">
        <v>-127</v>
      </c>
      <c r="T455">
        <v>31.88</v>
      </c>
      <c r="U455" t="s">
        <v>3327</v>
      </c>
      <c r="W455">
        <v>417</v>
      </c>
      <c r="X455" t="s">
        <v>3436</v>
      </c>
      <c r="Y455" t="s">
        <v>3326</v>
      </c>
      <c r="Z455">
        <v>-1509</v>
      </c>
      <c r="AA455">
        <v>37.39</v>
      </c>
      <c r="AB455" t="s">
        <v>3326</v>
      </c>
    </row>
    <row r="456" spans="1:28">
      <c r="A456">
        <v>418</v>
      </c>
      <c r="B456" t="s">
        <v>3436</v>
      </c>
      <c r="C456" t="s">
        <v>3326</v>
      </c>
      <c r="D456">
        <v>-1510</v>
      </c>
      <c r="F456">
        <v>37.39</v>
      </c>
      <c r="G456" t="s">
        <v>3326</v>
      </c>
      <c r="P456">
        <v>418</v>
      </c>
      <c r="Q456" t="s">
        <v>3453</v>
      </c>
      <c r="R456" t="s">
        <v>3327</v>
      </c>
      <c r="S456">
        <v>-201</v>
      </c>
      <c r="T456">
        <v>22.34</v>
      </c>
      <c r="U456" t="s">
        <v>3327</v>
      </c>
      <c r="W456">
        <v>418</v>
      </c>
      <c r="X456" t="s">
        <v>3436</v>
      </c>
      <c r="Y456" t="s">
        <v>3326</v>
      </c>
      <c r="Z456">
        <v>-1510</v>
      </c>
      <c r="AA456">
        <v>37.39</v>
      </c>
      <c r="AB456" t="s">
        <v>3326</v>
      </c>
    </row>
    <row r="457" spans="1:28">
      <c r="A457">
        <v>419</v>
      </c>
      <c r="B457" t="s">
        <v>3436</v>
      </c>
      <c r="C457" t="s">
        <v>3326</v>
      </c>
      <c r="D457">
        <v>-1511</v>
      </c>
      <c r="F457">
        <v>37.39</v>
      </c>
      <c r="G457" t="s">
        <v>3326</v>
      </c>
      <c r="P457">
        <v>419</v>
      </c>
      <c r="Q457" t="s">
        <v>3453</v>
      </c>
      <c r="R457" t="s">
        <v>3327</v>
      </c>
      <c r="S457">
        <v>-202</v>
      </c>
      <c r="T457">
        <v>22.59</v>
      </c>
      <c r="U457" t="s">
        <v>3327</v>
      </c>
      <c r="W457">
        <v>419</v>
      </c>
      <c r="X457" t="s">
        <v>3436</v>
      </c>
      <c r="Y457" t="s">
        <v>3326</v>
      </c>
      <c r="Z457">
        <v>-1511</v>
      </c>
      <c r="AA457">
        <v>37.39</v>
      </c>
      <c r="AB457" t="s">
        <v>3326</v>
      </c>
    </row>
    <row r="458" spans="1:28">
      <c r="A458">
        <v>420</v>
      </c>
      <c r="B458" t="s">
        <v>3436</v>
      </c>
      <c r="C458" t="s">
        <v>3326</v>
      </c>
      <c r="D458">
        <v>-1512</v>
      </c>
      <c r="F458">
        <v>37.39</v>
      </c>
      <c r="G458" t="s">
        <v>3326</v>
      </c>
      <c r="P458">
        <v>420</v>
      </c>
      <c r="Q458" t="s">
        <v>3453</v>
      </c>
      <c r="R458" t="s">
        <v>3327</v>
      </c>
      <c r="S458">
        <v>-203</v>
      </c>
      <c r="T458">
        <v>22.59</v>
      </c>
      <c r="U458" t="s">
        <v>3327</v>
      </c>
      <c r="W458">
        <v>420</v>
      </c>
      <c r="X458" t="s">
        <v>3436</v>
      </c>
      <c r="Y458" t="s">
        <v>3326</v>
      </c>
      <c r="Z458">
        <v>-1512</v>
      </c>
      <c r="AA458">
        <v>37.39</v>
      </c>
      <c r="AB458" t="s">
        <v>3326</v>
      </c>
    </row>
    <row r="459" spans="1:28">
      <c r="A459">
        <v>421</v>
      </c>
      <c r="B459" t="s">
        <v>3436</v>
      </c>
      <c r="C459" t="s">
        <v>3326</v>
      </c>
      <c r="D459">
        <v>-1513</v>
      </c>
      <c r="F459">
        <v>37.39</v>
      </c>
      <c r="G459" t="s">
        <v>3326</v>
      </c>
      <c r="P459">
        <v>421</v>
      </c>
      <c r="Q459" t="s">
        <v>3453</v>
      </c>
      <c r="R459" t="s">
        <v>3327</v>
      </c>
      <c r="S459">
        <v>-204</v>
      </c>
      <c r="T459">
        <v>25.56</v>
      </c>
      <c r="U459" t="s">
        <v>3327</v>
      </c>
      <c r="W459">
        <v>421</v>
      </c>
      <c r="X459" t="s">
        <v>3436</v>
      </c>
      <c r="Y459" t="s">
        <v>3326</v>
      </c>
      <c r="Z459">
        <v>-1513</v>
      </c>
      <c r="AA459">
        <v>37.39</v>
      </c>
      <c r="AB459" t="s">
        <v>3326</v>
      </c>
    </row>
    <row r="460" spans="1:28">
      <c r="A460">
        <v>422</v>
      </c>
      <c r="B460" t="s">
        <v>3436</v>
      </c>
      <c r="C460" t="s">
        <v>3326</v>
      </c>
      <c r="D460">
        <v>-1515</v>
      </c>
      <c r="F460">
        <v>37.39</v>
      </c>
      <c r="G460" t="s">
        <v>3326</v>
      </c>
      <c r="P460">
        <v>422</v>
      </c>
      <c r="Q460" t="s">
        <v>3453</v>
      </c>
      <c r="R460" t="s">
        <v>3327</v>
      </c>
      <c r="S460">
        <v>-205</v>
      </c>
      <c r="T460">
        <v>25.56</v>
      </c>
      <c r="U460" t="s">
        <v>3327</v>
      </c>
      <c r="W460">
        <v>422</v>
      </c>
      <c r="X460" t="s">
        <v>3436</v>
      </c>
      <c r="Y460" t="s">
        <v>3326</v>
      </c>
      <c r="Z460">
        <v>-1515</v>
      </c>
      <c r="AA460">
        <v>37.39</v>
      </c>
      <c r="AB460" t="s">
        <v>3326</v>
      </c>
    </row>
    <row r="461" spans="1:28">
      <c r="A461">
        <v>423</v>
      </c>
      <c r="B461" t="s">
        <v>3436</v>
      </c>
      <c r="C461" t="s">
        <v>3326</v>
      </c>
      <c r="D461">
        <v>-1516</v>
      </c>
      <c r="F461">
        <v>37.39</v>
      </c>
      <c r="G461" t="s">
        <v>3326</v>
      </c>
      <c r="P461">
        <v>423</v>
      </c>
      <c r="Q461" t="s">
        <v>3453</v>
      </c>
      <c r="R461" t="s">
        <v>3327</v>
      </c>
      <c r="S461">
        <v>-206</v>
      </c>
      <c r="T461">
        <v>24.1</v>
      </c>
      <c r="U461" t="s">
        <v>3327</v>
      </c>
      <c r="W461">
        <v>423</v>
      </c>
      <c r="X461" t="s">
        <v>3436</v>
      </c>
      <c r="Y461" t="s">
        <v>3326</v>
      </c>
      <c r="Z461">
        <v>-1516</v>
      </c>
      <c r="AA461">
        <v>37.39</v>
      </c>
      <c r="AB461" t="s">
        <v>3326</v>
      </c>
    </row>
    <row r="462" spans="1:28">
      <c r="A462">
        <v>424</v>
      </c>
      <c r="B462" t="s">
        <v>3436</v>
      </c>
      <c r="C462" t="s">
        <v>3326</v>
      </c>
      <c r="D462">
        <v>-1517</v>
      </c>
      <c r="F462">
        <v>37.39</v>
      </c>
      <c r="G462" t="s">
        <v>3326</v>
      </c>
      <c r="P462">
        <v>424</v>
      </c>
      <c r="Q462" t="s">
        <v>3453</v>
      </c>
      <c r="R462" t="s">
        <v>3327</v>
      </c>
      <c r="S462">
        <v>-207</v>
      </c>
      <c r="T462">
        <v>24.1</v>
      </c>
      <c r="U462" t="s">
        <v>3327</v>
      </c>
      <c r="W462">
        <v>424</v>
      </c>
      <c r="X462" t="s">
        <v>3436</v>
      </c>
      <c r="Y462" t="s">
        <v>3326</v>
      </c>
      <c r="Z462">
        <v>-1517</v>
      </c>
      <c r="AA462">
        <v>37.39</v>
      </c>
      <c r="AB462" t="s">
        <v>3326</v>
      </c>
    </row>
    <row r="463" spans="1:28">
      <c r="A463">
        <v>425</v>
      </c>
      <c r="B463" t="s">
        <v>3436</v>
      </c>
      <c r="C463" t="s">
        <v>3326</v>
      </c>
      <c r="D463">
        <v>-1519</v>
      </c>
      <c r="F463">
        <v>37.39</v>
      </c>
      <c r="G463" t="s">
        <v>3326</v>
      </c>
      <c r="P463">
        <v>425</v>
      </c>
      <c r="Q463" t="s">
        <v>3453</v>
      </c>
      <c r="R463" t="s">
        <v>3327</v>
      </c>
      <c r="S463">
        <v>-208</v>
      </c>
      <c r="T463">
        <v>30.67</v>
      </c>
      <c r="U463" t="s">
        <v>3327</v>
      </c>
      <c r="W463">
        <v>425</v>
      </c>
      <c r="X463" t="s">
        <v>3436</v>
      </c>
      <c r="Y463" t="s">
        <v>3326</v>
      </c>
      <c r="Z463">
        <v>-1519</v>
      </c>
      <c r="AA463">
        <v>37.39</v>
      </c>
      <c r="AB463" t="s">
        <v>3326</v>
      </c>
    </row>
    <row r="464" spans="1:28">
      <c r="A464">
        <v>426</v>
      </c>
      <c r="B464" t="s">
        <v>3436</v>
      </c>
      <c r="C464" t="s">
        <v>3326</v>
      </c>
      <c r="D464">
        <v>-1520</v>
      </c>
      <c r="F464">
        <v>37.39</v>
      </c>
      <c r="G464" t="s">
        <v>3326</v>
      </c>
      <c r="P464">
        <v>426</v>
      </c>
      <c r="Q464" t="s">
        <v>3453</v>
      </c>
      <c r="R464" t="s">
        <v>3327</v>
      </c>
      <c r="S464">
        <v>-209</v>
      </c>
      <c r="T464">
        <v>27.09</v>
      </c>
      <c r="U464" t="s">
        <v>3327</v>
      </c>
      <c r="W464">
        <v>426</v>
      </c>
      <c r="X464" t="s">
        <v>3436</v>
      </c>
      <c r="Y464" t="s">
        <v>3326</v>
      </c>
      <c r="Z464">
        <v>-1520</v>
      </c>
      <c r="AA464">
        <v>37.39</v>
      </c>
      <c r="AB464" t="s">
        <v>3326</v>
      </c>
    </row>
    <row r="465" spans="1:28">
      <c r="A465">
        <v>427</v>
      </c>
      <c r="B465" t="s">
        <v>3436</v>
      </c>
      <c r="C465" t="s">
        <v>3326</v>
      </c>
      <c r="D465">
        <v>-1521</v>
      </c>
      <c r="F465">
        <v>37.39</v>
      </c>
      <c r="G465" t="s">
        <v>3326</v>
      </c>
      <c r="P465">
        <v>427</v>
      </c>
      <c r="Q465" t="s">
        <v>3453</v>
      </c>
      <c r="R465" t="s">
        <v>3327</v>
      </c>
      <c r="S465">
        <v>-210</v>
      </c>
      <c r="T465">
        <v>21.28</v>
      </c>
      <c r="U465" t="s">
        <v>3327</v>
      </c>
      <c r="W465">
        <v>427</v>
      </c>
      <c r="X465" t="s">
        <v>3436</v>
      </c>
      <c r="Y465" t="s">
        <v>3326</v>
      </c>
      <c r="Z465">
        <v>-1521</v>
      </c>
      <c r="AA465">
        <v>37.39</v>
      </c>
      <c r="AB465" t="s">
        <v>3326</v>
      </c>
    </row>
    <row r="466" spans="1:28">
      <c r="A466">
        <v>428</v>
      </c>
      <c r="B466" t="s">
        <v>3436</v>
      </c>
      <c r="C466" t="s">
        <v>3326</v>
      </c>
      <c r="D466">
        <v>-1522</v>
      </c>
      <c r="F466">
        <v>37.39</v>
      </c>
      <c r="G466" t="s">
        <v>3326</v>
      </c>
      <c r="P466">
        <v>428</v>
      </c>
      <c r="Q466" t="s">
        <v>3453</v>
      </c>
      <c r="R466" t="s">
        <v>3327</v>
      </c>
      <c r="S466">
        <v>-211</v>
      </c>
      <c r="T466">
        <v>21.28</v>
      </c>
      <c r="U466" t="s">
        <v>3327</v>
      </c>
      <c r="W466">
        <v>428</v>
      </c>
      <c r="X466" t="s">
        <v>3436</v>
      </c>
      <c r="Y466" t="s">
        <v>3326</v>
      </c>
      <c r="Z466">
        <v>-1522</v>
      </c>
      <c r="AA466">
        <v>37.39</v>
      </c>
      <c r="AB466" t="s">
        <v>3326</v>
      </c>
    </row>
    <row r="467" spans="1:28">
      <c r="A467">
        <v>429</v>
      </c>
      <c r="B467" t="s">
        <v>3436</v>
      </c>
      <c r="C467" t="s">
        <v>3326</v>
      </c>
      <c r="D467">
        <v>-1523</v>
      </c>
      <c r="F467">
        <v>37.39</v>
      </c>
      <c r="G467" t="s">
        <v>3326</v>
      </c>
      <c r="P467">
        <v>429</v>
      </c>
      <c r="Q467" t="s">
        <v>3453</v>
      </c>
      <c r="R467" t="s">
        <v>3327</v>
      </c>
      <c r="S467">
        <v>-212</v>
      </c>
      <c r="T467">
        <v>16.77</v>
      </c>
      <c r="U467" t="s">
        <v>3327</v>
      </c>
      <c r="W467">
        <v>429</v>
      </c>
      <c r="X467" t="s">
        <v>3436</v>
      </c>
      <c r="Y467" t="s">
        <v>3326</v>
      </c>
      <c r="Z467">
        <v>-1523</v>
      </c>
      <c r="AA467">
        <v>37.39</v>
      </c>
      <c r="AB467" t="s">
        <v>3326</v>
      </c>
    </row>
    <row r="468" spans="1:28">
      <c r="A468">
        <v>430</v>
      </c>
      <c r="B468" t="s">
        <v>3436</v>
      </c>
      <c r="C468" t="s">
        <v>3326</v>
      </c>
      <c r="D468">
        <v>-1524</v>
      </c>
      <c r="F468">
        <v>37.39</v>
      </c>
      <c r="G468" t="s">
        <v>3326</v>
      </c>
      <c r="P468">
        <v>430</v>
      </c>
      <c r="Q468" t="s">
        <v>3453</v>
      </c>
      <c r="R468" t="s">
        <v>3327</v>
      </c>
      <c r="S468">
        <v>-213</v>
      </c>
      <c r="T468">
        <v>16.12</v>
      </c>
      <c r="U468" t="s">
        <v>3327</v>
      </c>
      <c r="W468">
        <v>430</v>
      </c>
      <c r="X468" t="s">
        <v>3436</v>
      </c>
      <c r="Y468" t="s">
        <v>3326</v>
      </c>
      <c r="Z468">
        <v>-1524</v>
      </c>
      <c r="AA468">
        <v>37.39</v>
      </c>
      <c r="AB468" t="s">
        <v>3326</v>
      </c>
    </row>
    <row r="469" spans="1:28">
      <c r="A469">
        <v>431</v>
      </c>
      <c r="B469" t="s">
        <v>3436</v>
      </c>
      <c r="C469" t="s">
        <v>3326</v>
      </c>
      <c r="D469">
        <v>-1525</v>
      </c>
      <c r="F469">
        <v>37.39</v>
      </c>
      <c r="G469" t="s">
        <v>3326</v>
      </c>
      <c r="P469">
        <v>431</v>
      </c>
      <c r="Q469" t="s">
        <v>3453</v>
      </c>
      <c r="R469" t="s">
        <v>3327</v>
      </c>
      <c r="S469">
        <v>-216</v>
      </c>
      <c r="T469">
        <v>22.59</v>
      </c>
      <c r="U469" t="s">
        <v>3327</v>
      </c>
      <c r="W469">
        <v>431</v>
      </c>
      <c r="X469" t="s">
        <v>3436</v>
      </c>
      <c r="Y469" t="s">
        <v>3326</v>
      </c>
      <c r="Z469">
        <v>-1525</v>
      </c>
      <c r="AA469">
        <v>37.39</v>
      </c>
      <c r="AB469" t="s">
        <v>3326</v>
      </c>
    </row>
    <row r="470" spans="1:28">
      <c r="A470">
        <v>432</v>
      </c>
      <c r="B470" t="s">
        <v>3436</v>
      </c>
      <c r="C470" t="s">
        <v>3326</v>
      </c>
      <c r="D470">
        <v>-1526</v>
      </c>
      <c r="F470">
        <v>37.39</v>
      </c>
      <c r="G470" t="s">
        <v>3326</v>
      </c>
      <c r="P470">
        <v>432</v>
      </c>
      <c r="Q470" t="s">
        <v>3454</v>
      </c>
      <c r="R470" t="s">
        <v>3327</v>
      </c>
      <c r="S470">
        <v>-101</v>
      </c>
      <c r="T470">
        <v>24.49</v>
      </c>
      <c r="U470" t="s">
        <v>3327</v>
      </c>
      <c r="W470">
        <v>432</v>
      </c>
      <c r="X470" t="s">
        <v>3436</v>
      </c>
      <c r="Y470" t="s">
        <v>3326</v>
      </c>
      <c r="Z470">
        <v>-1526</v>
      </c>
      <c r="AA470">
        <v>37.39</v>
      </c>
      <c r="AB470" t="s">
        <v>3326</v>
      </c>
    </row>
    <row r="471" spans="1:28">
      <c r="A471">
        <v>433</v>
      </c>
      <c r="B471" t="s">
        <v>3436</v>
      </c>
      <c r="C471" t="s">
        <v>3326</v>
      </c>
      <c r="D471">
        <v>-1527</v>
      </c>
      <c r="F471">
        <v>37.39</v>
      </c>
      <c r="G471" t="s">
        <v>3326</v>
      </c>
      <c r="P471">
        <v>433</v>
      </c>
      <c r="Q471" t="s">
        <v>3454</v>
      </c>
      <c r="R471" t="s">
        <v>3327</v>
      </c>
      <c r="S471">
        <v>-102</v>
      </c>
      <c r="T471">
        <v>30.56</v>
      </c>
      <c r="U471" t="s">
        <v>3327</v>
      </c>
      <c r="W471">
        <v>433</v>
      </c>
      <c r="X471" t="s">
        <v>3436</v>
      </c>
      <c r="Y471" t="s">
        <v>3326</v>
      </c>
      <c r="Z471">
        <v>-1527</v>
      </c>
      <c r="AA471">
        <v>37.39</v>
      </c>
      <c r="AB471" t="s">
        <v>3326</v>
      </c>
    </row>
    <row r="472" spans="1:28">
      <c r="A472">
        <v>434</v>
      </c>
      <c r="B472" t="s">
        <v>3436</v>
      </c>
      <c r="C472" t="s">
        <v>3326</v>
      </c>
      <c r="D472">
        <v>-1529</v>
      </c>
      <c r="F472">
        <v>37.39</v>
      </c>
      <c r="G472" t="s">
        <v>3326</v>
      </c>
      <c r="P472">
        <v>434</v>
      </c>
      <c r="Q472" t="s">
        <v>3454</v>
      </c>
      <c r="R472" t="s">
        <v>3327</v>
      </c>
      <c r="S472">
        <v>-103</v>
      </c>
      <c r="T472">
        <v>56.66</v>
      </c>
      <c r="U472" t="s">
        <v>3327</v>
      </c>
      <c r="W472">
        <v>434</v>
      </c>
      <c r="X472" t="s">
        <v>3436</v>
      </c>
      <c r="Y472" t="s">
        <v>3326</v>
      </c>
      <c r="Z472">
        <v>-1529</v>
      </c>
      <c r="AA472">
        <v>37.39</v>
      </c>
      <c r="AB472" t="s">
        <v>3326</v>
      </c>
    </row>
    <row r="473" spans="1:28">
      <c r="A473">
        <v>435</v>
      </c>
      <c r="B473" t="s">
        <v>3436</v>
      </c>
      <c r="C473" t="s">
        <v>3326</v>
      </c>
      <c r="D473">
        <v>-1530</v>
      </c>
      <c r="F473">
        <v>37.39</v>
      </c>
      <c r="G473" t="s">
        <v>3326</v>
      </c>
      <c r="P473">
        <v>435</v>
      </c>
      <c r="Q473" t="s">
        <v>3454</v>
      </c>
      <c r="R473" t="s">
        <v>3327</v>
      </c>
      <c r="S473">
        <v>-104</v>
      </c>
      <c r="T473">
        <v>62.27</v>
      </c>
      <c r="U473" t="s">
        <v>3327</v>
      </c>
      <c r="W473">
        <v>435</v>
      </c>
      <c r="X473" t="s">
        <v>3436</v>
      </c>
      <c r="Y473" t="s">
        <v>3326</v>
      </c>
      <c r="Z473">
        <v>-1530</v>
      </c>
      <c r="AA473">
        <v>37.39</v>
      </c>
      <c r="AB473" t="s">
        <v>3326</v>
      </c>
    </row>
    <row r="474" spans="1:28">
      <c r="A474">
        <v>436</v>
      </c>
      <c r="B474" t="s">
        <v>3436</v>
      </c>
      <c r="C474" t="s">
        <v>3326</v>
      </c>
      <c r="D474">
        <v>-1531</v>
      </c>
      <c r="F474">
        <v>37.39</v>
      </c>
      <c r="G474" t="s">
        <v>3326</v>
      </c>
      <c r="P474">
        <v>436</v>
      </c>
      <c r="Q474" t="s">
        <v>3454</v>
      </c>
      <c r="R474" t="s">
        <v>3327</v>
      </c>
      <c r="S474">
        <v>-105</v>
      </c>
      <c r="T474">
        <v>33.46</v>
      </c>
      <c r="U474" t="s">
        <v>3327</v>
      </c>
      <c r="W474">
        <v>436</v>
      </c>
      <c r="X474" t="s">
        <v>3436</v>
      </c>
      <c r="Y474" t="s">
        <v>3326</v>
      </c>
      <c r="Z474">
        <v>-1531</v>
      </c>
      <c r="AA474">
        <v>37.39</v>
      </c>
      <c r="AB474" t="s">
        <v>3326</v>
      </c>
    </row>
    <row r="475" spans="1:28">
      <c r="A475">
        <v>437</v>
      </c>
      <c r="B475" t="s">
        <v>3436</v>
      </c>
      <c r="C475" t="s">
        <v>3326</v>
      </c>
      <c r="D475">
        <v>-1533</v>
      </c>
      <c r="F475">
        <v>37.39</v>
      </c>
      <c r="G475" t="s">
        <v>3326</v>
      </c>
      <c r="P475">
        <v>437</v>
      </c>
      <c r="Q475" t="s">
        <v>3454</v>
      </c>
      <c r="R475" t="s">
        <v>3327</v>
      </c>
      <c r="S475">
        <v>-106</v>
      </c>
      <c r="T475">
        <v>33.46</v>
      </c>
      <c r="U475" t="s">
        <v>3327</v>
      </c>
      <c r="W475">
        <v>437</v>
      </c>
      <c r="X475" t="s">
        <v>3436</v>
      </c>
      <c r="Y475" t="s">
        <v>3326</v>
      </c>
      <c r="Z475">
        <v>-1533</v>
      </c>
      <c r="AA475">
        <v>37.39</v>
      </c>
      <c r="AB475" t="s">
        <v>3326</v>
      </c>
    </row>
    <row r="476" spans="1:28">
      <c r="A476">
        <v>438</v>
      </c>
      <c r="B476" t="s">
        <v>3436</v>
      </c>
      <c r="C476" t="s">
        <v>3326</v>
      </c>
      <c r="D476">
        <v>-1535</v>
      </c>
      <c r="F476">
        <v>37.39</v>
      </c>
      <c r="G476" t="s">
        <v>3326</v>
      </c>
      <c r="P476">
        <v>438</v>
      </c>
      <c r="Q476" t="s">
        <v>3454</v>
      </c>
      <c r="R476" t="s">
        <v>3327</v>
      </c>
      <c r="S476">
        <v>-107</v>
      </c>
      <c r="T476">
        <v>61.99</v>
      </c>
      <c r="U476" t="s">
        <v>3327</v>
      </c>
      <c r="W476">
        <v>438</v>
      </c>
      <c r="X476" t="s">
        <v>3436</v>
      </c>
      <c r="Y476" t="s">
        <v>3326</v>
      </c>
      <c r="Z476">
        <v>-1535</v>
      </c>
      <c r="AA476">
        <v>37.39</v>
      </c>
      <c r="AB476" t="s">
        <v>3326</v>
      </c>
    </row>
    <row r="477" spans="1:28">
      <c r="A477">
        <v>439</v>
      </c>
      <c r="B477" t="s">
        <v>3436</v>
      </c>
      <c r="C477" t="s">
        <v>3326</v>
      </c>
      <c r="D477">
        <v>-1536</v>
      </c>
      <c r="F477">
        <v>37.39</v>
      </c>
      <c r="G477" t="s">
        <v>3326</v>
      </c>
      <c r="P477">
        <v>439</v>
      </c>
      <c r="Q477" t="s">
        <v>3454</v>
      </c>
      <c r="R477" t="s">
        <v>3327</v>
      </c>
      <c r="S477">
        <v>-108</v>
      </c>
      <c r="T477">
        <v>47</v>
      </c>
      <c r="U477" t="s">
        <v>3327</v>
      </c>
      <c r="W477">
        <v>439</v>
      </c>
      <c r="X477" t="s">
        <v>3436</v>
      </c>
      <c r="Y477" t="s">
        <v>3326</v>
      </c>
      <c r="Z477">
        <v>-1536</v>
      </c>
      <c r="AA477">
        <v>37.39</v>
      </c>
      <c r="AB477" t="s">
        <v>3326</v>
      </c>
    </row>
    <row r="478" spans="1:28">
      <c r="A478">
        <v>440</v>
      </c>
      <c r="B478" t="s">
        <v>3436</v>
      </c>
      <c r="C478" t="s">
        <v>3326</v>
      </c>
      <c r="D478">
        <v>-1537</v>
      </c>
      <c r="F478">
        <v>37.39</v>
      </c>
      <c r="G478" t="s">
        <v>3326</v>
      </c>
      <c r="P478">
        <v>440</v>
      </c>
      <c r="Q478" t="s">
        <v>3454</v>
      </c>
      <c r="R478" t="s">
        <v>3327</v>
      </c>
      <c r="S478">
        <v>-109</v>
      </c>
      <c r="T478">
        <v>47</v>
      </c>
      <c r="U478" t="s">
        <v>3327</v>
      </c>
      <c r="W478">
        <v>440</v>
      </c>
      <c r="X478" t="s">
        <v>3436</v>
      </c>
      <c r="Y478" t="s">
        <v>3326</v>
      </c>
      <c r="Z478">
        <v>-1537</v>
      </c>
      <c r="AA478">
        <v>37.39</v>
      </c>
      <c r="AB478" t="s">
        <v>3326</v>
      </c>
    </row>
    <row r="479" spans="1:28">
      <c r="A479">
        <v>441</v>
      </c>
      <c r="B479" t="s">
        <v>3436</v>
      </c>
      <c r="C479" t="s">
        <v>3326</v>
      </c>
      <c r="D479">
        <v>-1538</v>
      </c>
      <c r="F479">
        <v>37.39</v>
      </c>
      <c r="G479" t="s">
        <v>3326</v>
      </c>
      <c r="P479">
        <v>441</v>
      </c>
      <c r="Q479" t="s">
        <v>3454</v>
      </c>
      <c r="R479" t="s">
        <v>3327</v>
      </c>
      <c r="S479">
        <v>-110</v>
      </c>
      <c r="T479">
        <v>61.99</v>
      </c>
      <c r="U479" t="s">
        <v>3327</v>
      </c>
      <c r="W479">
        <v>441</v>
      </c>
      <c r="X479" t="s">
        <v>3436</v>
      </c>
      <c r="Y479" t="s">
        <v>3326</v>
      </c>
      <c r="Z479">
        <v>-1538</v>
      </c>
      <c r="AA479">
        <v>37.39</v>
      </c>
      <c r="AB479" t="s">
        <v>3326</v>
      </c>
    </row>
    <row r="480" spans="1:28">
      <c r="A480">
        <v>442</v>
      </c>
      <c r="B480" t="s">
        <v>3436</v>
      </c>
      <c r="C480" t="s">
        <v>3326</v>
      </c>
      <c r="D480">
        <v>-1540</v>
      </c>
      <c r="F480">
        <v>37.39</v>
      </c>
      <c r="G480" t="s">
        <v>3326</v>
      </c>
      <c r="P480">
        <v>442</v>
      </c>
      <c r="Q480" t="s">
        <v>3454</v>
      </c>
      <c r="R480" t="s">
        <v>3327</v>
      </c>
      <c r="S480">
        <v>-111</v>
      </c>
      <c r="T480">
        <v>33.46</v>
      </c>
      <c r="U480" t="s">
        <v>3327</v>
      </c>
      <c r="W480">
        <v>442</v>
      </c>
      <c r="X480" t="s">
        <v>3436</v>
      </c>
      <c r="Y480" t="s">
        <v>3326</v>
      </c>
      <c r="Z480">
        <v>-1540</v>
      </c>
      <c r="AA480">
        <v>37.39</v>
      </c>
      <c r="AB480" t="s">
        <v>3326</v>
      </c>
    </row>
    <row r="481" spans="1:28">
      <c r="A481">
        <v>443</v>
      </c>
      <c r="B481" t="s">
        <v>3436</v>
      </c>
      <c r="C481" t="s">
        <v>3326</v>
      </c>
      <c r="D481">
        <v>-1541</v>
      </c>
      <c r="F481">
        <v>37.39</v>
      </c>
      <c r="G481" t="s">
        <v>3326</v>
      </c>
      <c r="P481">
        <v>443</v>
      </c>
      <c r="Q481" t="s">
        <v>3454</v>
      </c>
      <c r="R481" t="s">
        <v>3327</v>
      </c>
      <c r="S481">
        <v>-112</v>
      </c>
      <c r="T481">
        <v>33.46</v>
      </c>
      <c r="U481" t="s">
        <v>3327</v>
      </c>
      <c r="W481">
        <v>443</v>
      </c>
      <c r="X481" t="s">
        <v>3436</v>
      </c>
      <c r="Y481" t="s">
        <v>3326</v>
      </c>
      <c r="Z481">
        <v>-1541</v>
      </c>
      <c r="AA481">
        <v>37.39</v>
      </c>
      <c r="AB481" t="s">
        <v>3326</v>
      </c>
    </row>
    <row r="482" spans="1:28">
      <c r="A482">
        <v>444</v>
      </c>
      <c r="B482" t="s">
        <v>3436</v>
      </c>
      <c r="C482" t="s">
        <v>3326</v>
      </c>
      <c r="D482">
        <v>-1543</v>
      </c>
      <c r="F482">
        <v>37.39</v>
      </c>
      <c r="G482" t="s">
        <v>3326</v>
      </c>
      <c r="P482">
        <v>444</v>
      </c>
      <c r="Q482" t="s">
        <v>3454</v>
      </c>
      <c r="R482" t="s">
        <v>3327</v>
      </c>
      <c r="S482">
        <v>-113</v>
      </c>
      <c r="T482">
        <v>61.99</v>
      </c>
      <c r="U482" t="s">
        <v>3327</v>
      </c>
      <c r="W482">
        <v>444</v>
      </c>
      <c r="X482" t="s">
        <v>3436</v>
      </c>
      <c r="Y482" t="s">
        <v>3326</v>
      </c>
      <c r="Z482">
        <v>-1543</v>
      </c>
      <c r="AA482">
        <v>37.39</v>
      </c>
      <c r="AB482" t="s">
        <v>3326</v>
      </c>
    </row>
    <row r="483" spans="1:28">
      <c r="A483">
        <v>445</v>
      </c>
      <c r="B483" t="s">
        <v>3436</v>
      </c>
      <c r="C483" t="s">
        <v>3326</v>
      </c>
      <c r="D483">
        <v>-1544</v>
      </c>
      <c r="F483">
        <v>37.39</v>
      </c>
      <c r="G483" t="s">
        <v>3326</v>
      </c>
      <c r="P483">
        <v>445</v>
      </c>
      <c r="Q483" t="s">
        <v>3454</v>
      </c>
      <c r="R483" t="s">
        <v>3327</v>
      </c>
      <c r="S483">
        <v>-114</v>
      </c>
      <c r="T483">
        <v>46.67</v>
      </c>
      <c r="U483" t="s">
        <v>3327</v>
      </c>
      <c r="W483">
        <v>445</v>
      </c>
      <c r="X483" t="s">
        <v>3436</v>
      </c>
      <c r="Y483" t="s">
        <v>3326</v>
      </c>
      <c r="Z483">
        <v>-1544</v>
      </c>
      <c r="AA483">
        <v>37.39</v>
      </c>
      <c r="AB483" t="s">
        <v>3326</v>
      </c>
    </row>
    <row r="484" spans="1:28">
      <c r="A484">
        <v>446</v>
      </c>
      <c r="B484" t="s">
        <v>3436</v>
      </c>
      <c r="C484" t="s">
        <v>3326</v>
      </c>
      <c r="D484">
        <v>-1545</v>
      </c>
      <c r="F484">
        <v>37.39</v>
      </c>
      <c r="G484" t="s">
        <v>3326</v>
      </c>
      <c r="P484">
        <v>446</v>
      </c>
      <c r="Q484" t="s">
        <v>3454</v>
      </c>
      <c r="R484" t="s">
        <v>3327</v>
      </c>
      <c r="S484">
        <v>-115</v>
      </c>
      <c r="T484">
        <v>46.67</v>
      </c>
      <c r="U484" t="s">
        <v>3327</v>
      </c>
      <c r="W484">
        <v>446</v>
      </c>
      <c r="X484" t="s">
        <v>3436</v>
      </c>
      <c r="Y484" t="s">
        <v>3326</v>
      </c>
      <c r="Z484">
        <v>-1545</v>
      </c>
      <c r="AA484">
        <v>37.39</v>
      </c>
      <c r="AB484" t="s">
        <v>3326</v>
      </c>
    </row>
    <row r="485" spans="1:28">
      <c r="A485">
        <v>447</v>
      </c>
      <c r="B485" t="s">
        <v>3436</v>
      </c>
      <c r="C485" t="s">
        <v>3326</v>
      </c>
      <c r="D485">
        <v>-1546</v>
      </c>
      <c r="F485">
        <v>37.39</v>
      </c>
      <c r="G485" t="s">
        <v>3326</v>
      </c>
      <c r="P485">
        <v>447</v>
      </c>
      <c r="Q485" t="s">
        <v>3454</v>
      </c>
      <c r="R485" t="s">
        <v>3327</v>
      </c>
      <c r="S485">
        <v>-116</v>
      </c>
      <c r="T485">
        <v>61.99</v>
      </c>
      <c r="U485" t="s">
        <v>3327</v>
      </c>
      <c r="W485">
        <v>447</v>
      </c>
      <c r="X485" t="s">
        <v>3436</v>
      </c>
      <c r="Y485" t="s">
        <v>3326</v>
      </c>
      <c r="Z485">
        <v>-1546</v>
      </c>
      <c r="AA485">
        <v>37.39</v>
      </c>
      <c r="AB485" t="s">
        <v>3326</v>
      </c>
    </row>
    <row r="486" spans="1:28">
      <c r="A486">
        <v>448</v>
      </c>
      <c r="B486" t="s">
        <v>3436</v>
      </c>
      <c r="C486" t="s">
        <v>3326</v>
      </c>
      <c r="D486">
        <v>-1547</v>
      </c>
      <c r="F486">
        <v>37.39</v>
      </c>
      <c r="G486" t="s">
        <v>3326</v>
      </c>
      <c r="P486">
        <v>448</v>
      </c>
      <c r="Q486" t="s">
        <v>3454</v>
      </c>
      <c r="R486" t="s">
        <v>3327</v>
      </c>
      <c r="S486">
        <v>-117</v>
      </c>
      <c r="T486">
        <v>33.46</v>
      </c>
      <c r="U486" t="s">
        <v>3327</v>
      </c>
      <c r="W486">
        <v>448</v>
      </c>
      <c r="X486" t="s">
        <v>3436</v>
      </c>
      <c r="Y486" t="s">
        <v>3326</v>
      </c>
      <c r="Z486">
        <v>-1547</v>
      </c>
      <c r="AA486">
        <v>37.39</v>
      </c>
      <c r="AB486" t="s">
        <v>3326</v>
      </c>
    </row>
    <row r="487" spans="1:28">
      <c r="A487">
        <v>449</v>
      </c>
      <c r="B487" t="s">
        <v>3436</v>
      </c>
      <c r="C487" t="s">
        <v>3326</v>
      </c>
      <c r="D487">
        <v>-1548</v>
      </c>
      <c r="F487">
        <v>55.34</v>
      </c>
      <c r="G487" t="s">
        <v>3326</v>
      </c>
      <c r="P487">
        <v>449</v>
      </c>
      <c r="Q487" t="s">
        <v>3454</v>
      </c>
      <c r="R487" t="s">
        <v>3327</v>
      </c>
      <c r="S487">
        <v>-118</v>
      </c>
      <c r="T487">
        <v>33.46</v>
      </c>
      <c r="U487" t="s">
        <v>3327</v>
      </c>
      <c r="W487">
        <v>449</v>
      </c>
      <c r="X487" t="s">
        <v>3436</v>
      </c>
      <c r="Y487" t="s">
        <v>3326</v>
      </c>
      <c r="Z487">
        <v>-1548</v>
      </c>
      <c r="AA487">
        <v>55.34</v>
      </c>
      <c r="AB487" t="s">
        <v>3326</v>
      </c>
    </row>
    <row r="488" spans="1:28">
      <c r="A488">
        <v>450</v>
      </c>
      <c r="B488" t="s">
        <v>3436</v>
      </c>
      <c r="C488" t="s">
        <v>3326</v>
      </c>
      <c r="D488">
        <v>-1549</v>
      </c>
      <c r="F488">
        <v>37.39</v>
      </c>
      <c r="G488" t="s">
        <v>3326</v>
      </c>
      <c r="P488">
        <v>450</v>
      </c>
      <c r="Q488" t="s">
        <v>3454</v>
      </c>
      <c r="R488" t="s">
        <v>3327</v>
      </c>
      <c r="S488">
        <v>-119</v>
      </c>
      <c r="T488">
        <v>62.27</v>
      </c>
      <c r="U488" t="s">
        <v>3327</v>
      </c>
      <c r="W488">
        <v>450</v>
      </c>
      <c r="X488" t="s">
        <v>3436</v>
      </c>
      <c r="Y488" t="s">
        <v>3326</v>
      </c>
      <c r="Z488">
        <v>-1549</v>
      </c>
      <c r="AA488">
        <v>37.39</v>
      </c>
      <c r="AB488" t="s">
        <v>3326</v>
      </c>
    </row>
    <row r="489" spans="1:28">
      <c r="A489">
        <v>451</v>
      </c>
      <c r="B489" t="s">
        <v>3436</v>
      </c>
      <c r="C489" t="s">
        <v>3326</v>
      </c>
      <c r="D489">
        <v>-1550</v>
      </c>
      <c r="F489">
        <v>37.39</v>
      </c>
      <c r="G489" t="s">
        <v>3326</v>
      </c>
      <c r="P489">
        <v>451</v>
      </c>
      <c r="Q489" t="s">
        <v>3454</v>
      </c>
      <c r="R489" t="s">
        <v>3327</v>
      </c>
      <c r="S489">
        <v>-120</v>
      </c>
      <c r="T489">
        <v>56.66</v>
      </c>
      <c r="U489" t="s">
        <v>3327</v>
      </c>
      <c r="W489">
        <v>451</v>
      </c>
      <c r="X489" t="s">
        <v>3436</v>
      </c>
      <c r="Y489" t="s">
        <v>3326</v>
      </c>
      <c r="Z489">
        <v>-1550</v>
      </c>
      <c r="AA489">
        <v>37.39</v>
      </c>
      <c r="AB489" t="s">
        <v>3326</v>
      </c>
    </row>
    <row r="490" spans="1:28">
      <c r="A490">
        <v>452</v>
      </c>
      <c r="B490" t="s">
        <v>3436</v>
      </c>
      <c r="C490" t="s">
        <v>3326</v>
      </c>
      <c r="D490">
        <v>-1551</v>
      </c>
      <c r="F490">
        <v>37.39</v>
      </c>
      <c r="G490" t="s">
        <v>3326</v>
      </c>
      <c r="P490">
        <v>452</v>
      </c>
      <c r="Q490" t="s">
        <v>3454</v>
      </c>
      <c r="R490" t="s">
        <v>3327</v>
      </c>
      <c r="S490">
        <v>-121</v>
      </c>
      <c r="T490">
        <v>30.56</v>
      </c>
      <c r="U490" t="s">
        <v>3327</v>
      </c>
      <c r="W490">
        <v>452</v>
      </c>
      <c r="X490" t="s">
        <v>3436</v>
      </c>
      <c r="Y490" t="s">
        <v>3326</v>
      </c>
      <c r="Z490">
        <v>-1551</v>
      </c>
      <c r="AA490">
        <v>37.39</v>
      </c>
      <c r="AB490" t="s">
        <v>3326</v>
      </c>
    </row>
    <row r="491" spans="1:28">
      <c r="A491">
        <v>453</v>
      </c>
      <c r="B491" t="s">
        <v>3436</v>
      </c>
      <c r="C491" t="s">
        <v>3326</v>
      </c>
      <c r="D491">
        <v>-1552</v>
      </c>
      <c r="F491">
        <v>37.39</v>
      </c>
      <c r="G491" t="s">
        <v>3326</v>
      </c>
      <c r="P491">
        <v>453</v>
      </c>
      <c r="Q491" t="s">
        <v>3454</v>
      </c>
      <c r="R491" t="s">
        <v>3327</v>
      </c>
      <c r="S491">
        <v>-122</v>
      </c>
      <c r="T491">
        <v>24.49</v>
      </c>
      <c r="U491" t="s">
        <v>3327</v>
      </c>
      <c r="W491">
        <v>453</v>
      </c>
      <c r="X491" t="s">
        <v>3436</v>
      </c>
      <c r="Y491" t="s">
        <v>3326</v>
      </c>
      <c r="Z491">
        <v>-1552</v>
      </c>
      <c r="AA491">
        <v>37.39</v>
      </c>
      <c r="AB491" t="s">
        <v>3326</v>
      </c>
    </row>
    <row r="492" spans="1:28">
      <c r="A492">
        <v>454</v>
      </c>
      <c r="B492" t="s">
        <v>3436</v>
      </c>
      <c r="C492" t="s">
        <v>3326</v>
      </c>
      <c r="D492">
        <v>-1553</v>
      </c>
      <c r="F492">
        <v>37.39</v>
      </c>
      <c r="G492" t="s">
        <v>3326</v>
      </c>
      <c r="P492">
        <v>454</v>
      </c>
      <c r="Q492" t="s">
        <v>3454</v>
      </c>
      <c r="R492" t="s">
        <v>3327</v>
      </c>
      <c r="S492">
        <v>-123</v>
      </c>
      <c r="T492">
        <v>28.34</v>
      </c>
      <c r="U492" t="s">
        <v>3327</v>
      </c>
      <c r="W492">
        <v>454</v>
      </c>
      <c r="X492" t="s">
        <v>3436</v>
      </c>
      <c r="Y492" t="s">
        <v>3326</v>
      </c>
      <c r="Z492">
        <v>-1553</v>
      </c>
      <c r="AA492">
        <v>37.39</v>
      </c>
      <c r="AB492" t="s">
        <v>3326</v>
      </c>
    </row>
    <row r="493" spans="1:28">
      <c r="A493">
        <v>455</v>
      </c>
      <c r="B493" t="s">
        <v>3436</v>
      </c>
      <c r="C493" t="s">
        <v>3326</v>
      </c>
      <c r="D493">
        <v>-1554</v>
      </c>
      <c r="F493">
        <v>37.39</v>
      </c>
      <c r="G493" t="s">
        <v>3326</v>
      </c>
      <c r="P493">
        <v>455</v>
      </c>
      <c r="Q493" t="s">
        <v>3454</v>
      </c>
      <c r="R493" t="s">
        <v>3327</v>
      </c>
      <c r="S493">
        <v>-124</v>
      </c>
      <c r="T493">
        <v>33.020000000000003</v>
      </c>
      <c r="U493" t="s">
        <v>3327</v>
      </c>
      <c r="W493">
        <v>455</v>
      </c>
      <c r="X493" t="s">
        <v>3436</v>
      </c>
      <c r="Y493" t="s">
        <v>3326</v>
      </c>
      <c r="Z493">
        <v>-1554</v>
      </c>
      <c r="AA493">
        <v>37.39</v>
      </c>
      <c r="AB493" t="s">
        <v>3326</v>
      </c>
    </row>
    <row r="494" spans="1:28">
      <c r="A494">
        <v>456</v>
      </c>
      <c r="B494" t="s">
        <v>3436</v>
      </c>
      <c r="C494" t="s">
        <v>3326</v>
      </c>
      <c r="D494">
        <v>-1555</v>
      </c>
      <c r="F494">
        <v>37.39</v>
      </c>
      <c r="G494" t="s">
        <v>3326</v>
      </c>
      <c r="P494">
        <v>456</v>
      </c>
      <c r="Q494" t="s">
        <v>3454</v>
      </c>
      <c r="R494" t="s">
        <v>3327</v>
      </c>
      <c r="S494">
        <v>-125</v>
      </c>
      <c r="T494">
        <v>21.61</v>
      </c>
      <c r="U494" t="s">
        <v>3327</v>
      </c>
      <c r="W494">
        <v>456</v>
      </c>
      <c r="X494" t="s">
        <v>3436</v>
      </c>
      <c r="Y494" t="s">
        <v>3326</v>
      </c>
      <c r="Z494">
        <v>-1555</v>
      </c>
      <c r="AA494">
        <v>37.39</v>
      </c>
      <c r="AB494" t="s">
        <v>3326</v>
      </c>
    </row>
    <row r="495" spans="1:28">
      <c r="A495">
        <v>457</v>
      </c>
      <c r="B495" t="s">
        <v>3436</v>
      </c>
      <c r="C495" t="s">
        <v>3326</v>
      </c>
      <c r="D495">
        <v>-1556</v>
      </c>
      <c r="F495">
        <v>37.39</v>
      </c>
      <c r="G495" t="s">
        <v>3326</v>
      </c>
      <c r="P495">
        <v>457</v>
      </c>
      <c r="Q495" t="s">
        <v>3454</v>
      </c>
      <c r="R495" t="s">
        <v>3327</v>
      </c>
      <c r="S495">
        <v>-126</v>
      </c>
      <c r="T495">
        <v>42.81</v>
      </c>
      <c r="U495" t="s">
        <v>3327</v>
      </c>
      <c r="W495">
        <v>457</v>
      </c>
      <c r="X495" t="s">
        <v>3436</v>
      </c>
      <c r="Y495" t="s">
        <v>3326</v>
      </c>
      <c r="Z495">
        <v>-1556</v>
      </c>
      <c r="AA495">
        <v>37.39</v>
      </c>
      <c r="AB495" t="s">
        <v>3326</v>
      </c>
    </row>
    <row r="496" spans="1:28">
      <c r="A496">
        <v>458</v>
      </c>
      <c r="B496" t="s">
        <v>3436</v>
      </c>
      <c r="C496" t="s">
        <v>3326</v>
      </c>
      <c r="D496">
        <v>-1557</v>
      </c>
      <c r="F496">
        <v>37.39</v>
      </c>
      <c r="G496" t="s">
        <v>3326</v>
      </c>
      <c r="P496">
        <v>458</v>
      </c>
      <c r="Q496" t="s">
        <v>3454</v>
      </c>
      <c r="R496" t="s">
        <v>3327</v>
      </c>
      <c r="S496">
        <v>-127</v>
      </c>
      <c r="T496">
        <v>32.130000000000003</v>
      </c>
      <c r="U496" t="s">
        <v>3327</v>
      </c>
      <c r="W496">
        <v>458</v>
      </c>
      <c r="X496" t="s">
        <v>3436</v>
      </c>
      <c r="Y496" t="s">
        <v>3326</v>
      </c>
      <c r="Z496">
        <v>-1557</v>
      </c>
      <c r="AA496">
        <v>37.39</v>
      </c>
      <c r="AB496" t="s">
        <v>3326</v>
      </c>
    </row>
    <row r="497" spans="1:28">
      <c r="A497">
        <v>459</v>
      </c>
      <c r="B497" t="s">
        <v>3436</v>
      </c>
      <c r="C497" t="s">
        <v>3326</v>
      </c>
      <c r="D497">
        <v>-1558</v>
      </c>
      <c r="F497">
        <v>37.39</v>
      </c>
      <c r="G497" t="s">
        <v>3326</v>
      </c>
      <c r="P497">
        <v>459</v>
      </c>
      <c r="Q497" t="s">
        <v>3454</v>
      </c>
      <c r="R497" t="s">
        <v>3327</v>
      </c>
      <c r="S497">
        <v>-201</v>
      </c>
      <c r="T497">
        <v>22.51</v>
      </c>
      <c r="U497" t="s">
        <v>3327</v>
      </c>
      <c r="W497">
        <v>459</v>
      </c>
      <c r="X497" t="s">
        <v>3436</v>
      </c>
      <c r="Y497" t="s">
        <v>3326</v>
      </c>
      <c r="Z497">
        <v>-1558</v>
      </c>
      <c r="AA497">
        <v>37.39</v>
      </c>
      <c r="AB497" t="s">
        <v>3326</v>
      </c>
    </row>
    <row r="498" spans="1:28">
      <c r="A498">
        <v>460</v>
      </c>
      <c r="B498" t="s">
        <v>3436</v>
      </c>
      <c r="C498" t="s">
        <v>3326</v>
      </c>
      <c r="D498">
        <v>-1559</v>
      </c>
      <c r="F498">
        <v>37.39</v>
      </c>
      <c r="G498" t="s">
        <v>3326</v>
      </c>
      <c r="P498">
        <v>460</v>
      </c>
      <c r="Q498" t="s">
        <v>3454</v>
      </c>
      <c r="R498" t="s">
        <v>3327</v>
      </c>
      <c r="S498">
        <v>-202</v>
      </c>
      <c r="T498">
        <v>25.39</v>
      </c>
      <c r="U498" t="s">
        <v>3327</v>
      </c>
      <c r="W498">
        <v>460</v>
      </c>
      <c r="X498" t="s">
        <v>3436</v>
      </c>
      <c r="Y498" t="s">
        <v>3326</v>
      </c>
      <c r="Z498">
        <v>-1559</v>
      </c>
      <c r="AA498">
        <v>37.39</v>
      </c>
      <c r="AB498" t="s">
        <v>3326</v>
      </c>
    </row>
    <row r="499" spans="1:28">
      <c r="A499">
        <v>461</v>
      </c>
      <c r="B499" t="s">
        <v>3436</v>
      </c>
      <c r="C499" t="s">
        <v>3326</v>
      </c>
      <c r="D499">
        <v>-1560</v>
      </c>
      <c r="F499">
        <v>37.39</v>
      </c>
      <c r="G499" t="s">
        <v>3326</v>
      </c>
      <c r="P499">
        <v>461</v>
      </c>
      <c r="Q499" t="s">
        <v>3454</v>
      </c>
      <c r="R499" t="s">
        <v>3327</v>
      </c>
      <c r="S499">
        <v>-203</v>
      </c>
      <c r="T499">
        <v>26.12</v>
      </c>
      <c r="U499" t="s">
        <v>3327</v>
      </c>
      <c r="W499">
        <v>461</v>
      </c>
      <c r="X499" t="s">
        <v>3436</v>
      </c>
      <c r="Y499" t="s">
        <v>3326</v>
      </c>
      <c r="Z499">
        <v>-1560</v>
      </c>
      <c r="AA499">
        <v>37.39</v>
      </c>
      <c r="AB499" t="s">
        <v>3326</v>
      </c>
    </row>
    <row r="500" spans="1:28">
      <c r="A500">
        <v>462</v>
      </c>
      <c r="B500" t="s">
        <v>3436</v>
      </c>
      <c r="C500" t="s">
        <v>3326</v>
      </c>
      <c r="D500">
        <v>-1564</v>
      </c>
      <c r="F500">
        <v>37.39</v>
      </c>
      <c r="G500" t="s">
        <v>3326</v>
      </c>
      <c r="P500">
        <v>462</v>
      </c>
      <c r="Q500" t="s">
        <v>3454</v>
      </c>
      <c r="R500" t="s">
        <v>3327</v>
      </c>
      <c r="S500">
        <v>-204</v>
      </c>
      <c r="T500">
        <v>24.28</v>
      </c>
      <c r="U500" t="s">
        <v>3327</v>
      </c>
      <c r="W500">
        <v>462</v>
      </c>
      <c r="X500" t="s">
        <v>3436</v>
      </c>
      <c r="Y500" t="s">
        <v>3326</v>
      </c>
      <c r="Z500">
        <v>-1564</v>
      </c>
      <c r="AA500">
        <v>37.39</v>
      </c>
      <c r="AB500" t="s">
        <v>3326</v>
      </c>
    </row>
    <row r="501" spans="1:28">
      <c r="A501">
        <v>463</v>
      </c>
      <c r="B501" t="s">
        <v>3436</v>
      </c>
      <c r="C501" t="s">
        <v>3326</v>
      </c>
      <c r="D501">
        <v>-1566</v>
      </c>
      <c r="F501">
        <v>37.39</v>
      </c>
      <c r="G501" t="s">
        <v>3326</v>
      </c>
      <c r="P501">
        <v>463</v>
      </c>
      <c r="Q501" t="s">
        <v>3454</v>
      </c>
      <c r="R501" t="s">
        <v>3327</v>
      </c>
      <c r="S501">
        <v>-205</v>
      </c>
      <c r="T501">
        <v>24.28</v>
      </c>
      <c r="U501" t="s">
        <v>3327</v>
      </c>
      <c r="W501">
        <v>463</v>
      </c>
      <c r="X501" t="s">
        <v>3436</v>
      </c>
      <c r="Y501" t="s">
        <v>3326</v>
      </c>
      <c r="Z501">
        <v>-1566</v>
      </c>
      <c r="AA501">
        <v>37.39</v>
      </c>
      <c r="AB501" t="s">
        <v>3326</v>
      </c>
    </row>
    <row r="502" spans="1:28">
      <c r="A502">
        <v>464</v>
      </c>
      <c r="B502" t="s">
        <v>3436</v>
      </c>
      <c r="C502" t="s">
        <v>3326</v>
      </c>
      <c r="D502">
        <v>-1567</v>
      </c>
      <c r="F502">
        <v>37.39</v>
      </c>
      <c r="G502" t="s">
        <v>3326</v>
      </c>
      <c r="P502">
        <v>464</v>
      </c>
      <c r="Q502" t="s">
        <v>3454</v>
      </c>
      <c r="R502" t="s">
        <v>3327</v>
      </c>
      <c r="S502">
        <v>-206</v>
      </c>
      <c r="T502">
        <v>32</v>
      </c>
      <c r="U502" t="s">
        <v>3327</v>
      </c>
      <c r="W502">
        <v>464</v>
      </c>
      <c r="X502" t="s">
        <v>3436</v>
      </c>
      <c r="Y502" t="s">
        <v>3326</v>
      </c>
      <c r="Z502">
        <v>-1567</v>
      </c>
      <c r="AA502">
        <v>37.39</v>
      </c>
      <c r="AB502" t="s">
        <v>3326</v>
      </c>
    </row>
    <row r="503" spans="1:28">
      <c r="A503">
        <v>465</v>
      </c>
      <c r="B503" t="s">
        <v>3436</v>
      </c>
      <c r="C503" t="s">
        <v>3326</v>
      </c>
      <c r="D503">
        <v>-1568</v>
      </c>
      <c r="F503">
        <v>37.39</v>
      </c>
      <c r="G503" t="s">
        <v>3326</v>
      </c>
      <c r="P503">
        <v>465</v>
      </c>
      <c r="Q503" t="s">
        <v>3454</v>
      </c>
      <c r="R503" t="s">
        <v>3327</v>
      </c>
      <c r="S503">
        <v>-207</v>
      </c>
      <c r="T503">
        <v>32</v>
      </c>
      <c r="U503" t="s">
        <v>3327</v>
      </c>
      <c r="W503">
        <v>465</v>
      </c>
      <c r="X503" t="s">
        <v>3436</v>
      </c>
      <c r="Y503" t="s">
        <v>3326</v>
      </c>
      <c r="Z503">
        <v>-1568</v>
      </c>
      <c r="AA503">
        <v>37.39</v>
      </c>
      <c r="AB503" t="s">
        <v>3326</v>
      </c>
    </row>
    <row r="504" spans="1:28">
      <c r="A504">
        <v>466</v>
      </c>
      <c r="B504" t="s">
        <v>3436</v>
      </c>
      <c r="C504" t="s">
        <v>3326</v>
      </c>
      <c r="D504">
        <v>-1569</v>
      </c>
      <c r="F504">
        <v>37.39</v>
      </c>
      <c r="G504" t="s">
        <v>3326</v>
      </c>
      <c r="P504">
        <v>466</v>
      </c>
      <c r="Q504" t="s">
        <v>3454</v>
      </c>
      <c r="R504" t="s">
        <v>3327</v>
      </c>
      <c r="S504">
        <v>-208</v>
      </c>
      <c r="T504">
        <v>21.5</v>
      </c>
      <c r="U504" t="s">
        <v>3327</v>
      </c>
      <c r="W504">
        <v>466</v>
      </c>
      <c r="X504" t="s">
        <v>3436</v>
      </c>
      <c r="Y504" t="s">
        <v>3326</v>
      </c>
      <c r="Z504">
        <v>-1569</v>
      </c>
      <c r="AA504">
        <v>37.39</v>
      </c>
      <c r="AB504" t="s">
        <v>3326</v>
      </c>
    </row>
    <row r="505" spans="1:28">
      <c r="A505">
        <v>467</v>
      </c>
      <c r="B505" t="s">
        <v>3436</v>
      </c>
      <c r="C505" t="s">
        <v>3326</v>
      </c>
      <c r="D505">
        <v>-1572</v>
      </c>
      <c r="F505">
        <v>37.39</v>
      </c>
      <c r="G505" t="s">
        <v>3326</v>
      </c>
      <c r="P505">
        <v>467</v>
      </c>
      <c r="Q505" t="s">
        <v>3454</v>
      </c>
      <c r="R505" t="s">
        <v>3327</v>
      </c>
      <c r="S505">
        <v>-209</v>
      </c>
      <c r="T505">
        <v>22.76</v>
      </c>
      <c r="U505" t="s">
        <v>3327</v>
      </c>
      <c r="W505">
        <v>467</v>
      </c>
      <c r="X505" t="s">
        <v>3436</v>
      </c>
      <c r="Y505" t="s">
        <v>3326</v>
      </c>
      <c r="Z505">
        <v>-1572</v>
      </c>
      <c r="AA505">
        <v>37.39</v>
      </c>
      <c r="AB505" t="s">
        <v>3326</v>
      </c>
    </row>
    <row r="506" spans="1:28">
      <c r="A506">
        <v>468</v>
      </c>
      <c r="B506" t="s">
        <v>3436</v>
      </c>
      <c r="C506" t="s">
        <v>3326</v>
      </c>
      <c r="D506">
        <v>-1574</v>
      </c>
      <c r="F506">
        <v>37.39</v>
      </c>
      <c r="G506" t="s">
        <v>3326</v>
      </c>
      <c r="P506">
        <v>468</v>
      </c>
      <c r="Q506" t="s">
        <v>3454</v>
      </c>
      <c r="R506" t="s">
        <v>3327</v>
      </c>
      <c r="S506">
        <v>-210</v>
      </c>
      <c r="T506">
        <v>22.76</v>
      </c>
      <c r="U506" t="s">
        <v>3327</v>
      </c>
      <c r="W506">
        <v>468</v>
      </c>
      <c r="X506" t="s">
        <v>3436</v>
      </c>
      <c r="Y506" t="s">
        <v>3326</v>
      </c>
      <c r="Z506">
        <v>-1574</v>
      </c>
      <c r="AA506">
        <v>37.39</v>
      </c>
      <c r="AB506" t="s">
        <v>3326</v>
      </c>
    </row>
    <row r="507" spans="1:28">
      <c r="A507">
        <v>469</v>
      </c>
      <c r="B507" t="s">
        <v>3436</v>
      </c>
      <c r="C507" t="s">
        <v>3326</v>
      </c>
      <c r="D507">
        <v>-1575</v>
      </c>
      <c r="F507">
        <v>37.39</v>
      </c>
      <c r="G507" t="s">
        <v>3326</v>
      </c>
      <c r="P507">
        <v>469</v>
      </c>
      <c r="Q507" t="s">
        <v>3454</v>
      </c>
      <c r="R507" t="s">
        <v>3327</v>
      </c>
      <c r="S507">
        <v>-211</v>
      </c>
      <c r="T507">
        <v>22.76</v>
      </c>
      <c r="U507" t="s">
        <v>3327</v>
      </c>
      <c r="W507">
        <v>469</v>
      </c>
      <c r="X507" t="s">
        <v>3436</v>
      </c>
      <c r="Y507" t="s">
        <v>3326</v>
      </c>
      <c r="Z507">
        <v>-1575</v>
      </c>
      <c r="AA507">
        <v>37.39</v>
      </c>
      <c r="AB507" t="s">
        <v>3326</v>
      </c>
    </row>
    <row r="508" spans="1:28">
      <c r="A508">
        <v>470</v>
      </c>
      <c r="B508" t="s">
        <v>3436</v>
      </c>
      <c r="C508" t="s">
        <v>3326</v>
      </c>
      <c r="D508">
        <v>-1576</v>
      </c>
      <c r="F508">
        <v>37.39</v>
      </c>
      <c r="G508" t="s">
        <v>3326</v>
      </c>
      <c r="P508">
        <v>470</v>
      </c>
      <c r="Q508" t="s">
        <v>3454</v>
      </c>
      <c r="R508" t="s">
        <v>3327</v>
      </c>
      <c r="S508">
        <v>-212</v>
      </c>
      <c r="T508">
        <v>22.76</v>
      </c>
      <c r="U508" t="s">
        <v>3327</v>
      </c>
      <c r="W508">
        <v>470</v>
      </c>
      <c r="X508" t="s">
        <v>3436</v>
      </c>
      <c r="Y508" t="s">
        <v>3326</v>
      </c>
      <c r="Z508">
        <v>-1576</v>
      </c>
      <c r="AA508">
        <v>37.39</v>
      </c>
      <c r="AB508" t="s">
        <v>3326</v>
      </c>
    </row>
    <row r="509" spans="1:28">
      <c r="A509">
        <v>471</v>
      </c>
      <c r="B509" t="s">
        <v>3436</v>
      </c>
      <c r="C509" t="s">
        <v>3326</v>
      </c>
      <c r="D509">
        <v>-1577</v>
      </c>
      <c r="F509">
        <v>37.39</v>
      </c>
      <c r="G509" t="s">
        <v>3326</v>
      </c>
      <c r="P509">
        <v>471</v>
      </c>
      <c r="Q509" t="s">
        <v>3455</v>
      </c>
      <c r="R509" t="s">
        <v>3327</v>
      </c>
      <c r="S509">
        <v>-106</v>
      </c>
      <c r="T509">
        <v>23.66</v>
      </c>
      <c r="U509" t="s">
        <v>3327</v>
      </c>
      <c r="W509">
        <v>471</v>
      </c>
      <c r="X509" t="s">
        <v>3436</v>
      </c>
      <c r="Y509" t="s">
        <v>3326</v>
      </c>
      <c r="Z509">
        <v>-1577</v>
      </c>
      <c r="AA509">
        <v>37.39</v>
      </c>
      <c r="AB509" t="s">
        <v>3326</v>
      </c>
    </row>
    <row r="510" spans="1:28">
      <c r="A510">
        <v>472</v>
      </c>
      <c r="B510" t="s">
        <v>3436</v>
      </c>
      <c r="C510" t="s">
        <v>3326</v>
      </c>
      <c r="D510">
        <v>-1578</v>
      </c>
      <c r="F510">
        <v>37.39</v>
      </c>
      <c r="G510" t="s">
        <v>3326</v>
      </c>
      <c r="P510">
        <v>472</v>
      </c>
      <c r="Q510" t="s">
        <v>3455</v>
      </c>
      <c r="R510" t="s">
        <v>3327</v>
      </c>
      <c r="S510">
        <v>-107</v>
      </c>
      <c r="T510">
        <v>56.69</v>
      </c>
      <c r="U510" t="s">
        <v>3327</v>
      </c>
      <c r="W510">
        <v>472</v>
      </c>
      <c r="X510" t="s">
        <v>3436</v>
      </c>
      <c r="Y510" t="s">
        <v>3326</v>
      </c>
      <c r="Z510">
        <v>-1578</v>
      </c>
      <c r="AA510">
        <v>37.39</v>
      </c>
      <c r="AB510" t="s">
        <v>3326</v>
      </c>
    </row>
    <row r="511" spans="1:28">
      <c r="A511">
        <v>473</v>
      </c>
      <c r="B511" t="s">
        <v>3436</v>
      </c>
      <c r="C511" t="s">
        <v>3326</v>
      </c>
      <c r="D511">
        <v>-1580</v>
      </c>
      <c r="F511">
        <v>37.39</v>
      </c>
      <c r="G511" t="s">
        <v>3326</v>
      </c>
      <c r="P511">
        <v>473</v>
      </c>
      <c r="Q511" t="s">
        <v>3455</v>
      </c>
      <c r="R511" t="s">
        <v>3327</v>
      </c>
      <c r="S511">
        <v>-108</v>
      </c>
      <c r="T511">
        <v>41.45</v>
      </c>
      <c r="U511" t="s">
        <v>3327</v>
      </c>
      <c r="W511">
        <v>473</v>
      </c>
      <c r="X511" t="s">
        <v>3436</v>
      </c>
      <c r="Y511" t="s">
        <v>3326</v>
      </c>
      <c r="Z511">
        <v>-1580</v>
      </c>
      <c r="AA511">
        <v>37.39</v>
      </c>
      <c r="AB511" t="s">
        <v>3326</v>
      </c>
    </row>
    <row r="512" spans="1:28">
      <c r="A512">
        <v>474</v>
      </c>
      <c r="B512" t="s">
        <v>3436</v>
      </c>
      <c r="C512" t="s">
        <v>3326</v>
      </c>
      <c r="D512">
        <v>-1581</v>
      </c>
      <c r="F512">
        <v>37.39</v>
      </c>
      <c r="G512" t="s">
        <v>3326</v>
      </c>
      <c r="P512">
        <v>474</v>
      </c>
      <c r="Q512" t="s">
        <v>3455</v>
      </c>
      <c r="R512" t="s">
        <v>3327</v>
      </c>
      <c r="S512">
        <v>-109</v>
      </c>
      <c r="T512">
        <v>41.45</v>
      </c>
      <c r="U512" t="s">
        <v>3327</v>
      </c>
      <c r="W512">
        <v>474</v>
      </c>
      <c r="X512" t="s">
        <v>3436</v>
      </c>
      <c r="Y512" t="s">
        <v>3326</v>
      </c>
      <c r="Z512">
        <v>-1581</v>
      </c>
      <c r="AA512">
        <v>37.39</v>
      </c>
      <c r="AB512" t="s">
        <v>3326</v>
      </c>
    </row>
    <row r="513" spans="1:28">
      <c r="A513">
        <v>475</v>
      </c>
      <c r="B513" t="s">
        <v>3436</v>
      </c>
      <c r="C513" t="s">
        <v>3326</v>
      </c>
      <c r="D513">
        <v>-1582</v>
      </c>
      <c r="F513">
        <v>37.39</v>
      </c>
      <c r="G513" t="s">
        <v>3326</v>
      </c>
      <c r="P513">
        <v>475</v>
      </c>
      <c r="Q513" t="s">
        <v>3455</v>
      </c>
      <c r="R513" t="s">
        <v>3327</v>
      </c>
      <c r="S513">
        <v>-110</v>
      </c>
      <c r="T513">
        <v>56.69</v>
      </c>
      <c r="U513" t="s">
        <v>3327</v>
      </c>
      <c r="W513">
        <v>475</v>
      </c>
      <c r="X513" t="s">
        <v>3436</v>
      </c>
      <c r="Y513" t="s">
        <v>3326</v>
      </c>
      <c r="Z513">
        <v>-1582</v>
      </c>
      <c r="AA513">
        <v>37.39</v>
      </c>
      <c r="AB513" t="s">
        <v>3326</v>
      </c>
    </row>
    <row r="514" spans="1:28">
      <c r="A514">
        <v>476</v>
      </c>
      <c r="B514" t="s">
        <v>3436</v>
      </c>
      <c r="C514" t="s">
        <v>3326</v>
      </c>
      <c r="D514">
        <v>-1583</v>
      </c>
      <c r="F514">
        <v>37.39</v>
      </c>
      <c r="G514" t="s">
        <v>3326</v>
      </c>
      <c r="P514">
        <v>476</v>
      </c>
      <c r="Q514" t="s">
        <v>3455</v>
      </c>
      <c r="R514" t="s">
        <v>3327</v>
      </c>
      <c r="S514">
        <v>-111</v>
      </c>
      <c r="T514">
        <v>23.66</v>
      </c>
      <c r="U514" t="s">
        <v>3327</v>
      </c>
      <c r="W514">
        <v>476</v>
      </c>
      <c r="X514" t="s">
        <v>3436</v>
      </c>
      <c r="Y514" t="s">
        <v>3326</v>
      </c>
      <c r="Z514">
        <v>-1583</v>
      </c>
      <c r="AA514">
        <v>37.39</v>
      </c>
      <c r="AB514" t="s">
        <v>3326</v>
      </c>
    </row>
    <row r="515" spans="1:28">
      <c r="A515">
        <v>477</v>
      </c>
      <c r="B515" t="s">
        <v>3436</v>
      </c>
      <c r="C515" t="s">
        <v>3326</v>
      </c>
      <c r="D515">
        <v>-1584</v>
      </c>
      <c r="F515">
        <v>37.39</v>
      </c>
      <c r="G515" t="s">
        <v>3326</v>
      </c>
      <c r="P515">
        <v>477</v>
      </c>
      <c r="Q515" t="s">
        <v>3455</v>
      </c>
      <c r="R515" t="s">
        <v>3327</v>
      </c>
      <c r="S515">
        <v>-112</v>
      </c>
      <c r="T515">
        <v>23.66</v>
      </c>
      <c r="U515" t="s">
        <v>3327</v>
      </c>
      <c r="W515">
        <v>477</v>
      </c>
      <c r="X515" t="s">
        <v>3436</v>
      </c>
      <c r="Y515" t="s">
        <v>3326</v>
      </c>
      <c r="Z515">
        <v>-1584</v>
      </c>
      <c r="AA515">
        <v>37.39</v>
      </c>
      <c r="AB515" t="s">
        <v>3326</v>
      </c>
    </row>
    <row r="516" spans="1:28">
      <c r="A516">
        <v>478</v>
      </c>
      <c r="B516" t="s">
        <v>3436</v>
      </c>
      <c r="C516" t="s">
        <v>3326</v>
      </c>
      <c r="D516">
        <v>-1586</v>
      </c>
      <c r="F516">
        <v>37.39</v>
      </c>
      <c r="G516" t="s">
        <v>3326</v>
      </c>
      <c r="P516">
        <v>478</v>
      </c>
      <c r="Q516" t="s">
        <v>3455</v>
      </c>
      <c r="R516" t="s">
        <v>3327</v>
      </c>
      <c r="S516">
        <v>-113</v>
      </c>
      <c r="T516">
        <v>56.69</v>
      </c>
      <c r="U516" t="s">
        <v>3327</v>
      </c>
      <c r="W516">
        <v>478</v>
      </c>
      <c r="X516" t="s">
        <v>3436</v>
      </c>
      <c r="Y516" t="s">
        <v>3326</v>
      </c>
      <c r="Z516">
        <v>-1586</v>
      </c>
      <c r="AA516">
        <v>37.39</v>
      </c>
      <c r="AB516" t="s">
        <v>3326</v>
      </c>
    </row>
    <row r="517" spans="1:28">
      <c r="A517">
        <v>479</v>
      </c>
      <c r="B517" t="s">
        <v>3436</v>
      </c>
      <c r="C517" t="s">
        <v>3326</v>
      </c>
      <c r="D517">
        <v>-1587</v>
      </c>
      <c r="F517">
        <v>37.39</v>
      </c>
      <c r="G517" t="s">
        <v>3326</v>
      </c>
      <c r="P517">
        <v>479</v>
      </c>
      <c r="Q517" t="s">
        <v>3455</v>
      </c>
      <c r="R517" t="s">
        <v>3327</v>
      </c>
      <c r="S517">
        <v>-114</v>
      </c>
      <c r="T517">
        <v>41.15</v>
      </c>
      <c r="U517" t="s">
        <v>3327</v>
      </c>
      <c r="W517">
        <v>479</v>
      </c>
      <c r="X517" t="s">
        <v>3436</v>
      </c>
      <c r="Y517" t="s">
        <v>3326</v>
      </c>
      <c r="Z517">
        <v>-1587</v>
      </c>
      <c r="AA517">
        <v>37.39</v>
      </c>
      <c r="AB517" t="s">
        <v>3326</v>
      </c>
    </row>
    <row r="518" spans="1:28">
      <c r="A518">
        <v>480</v>
      </c>
      <c r="B518" t="s">
        <v>3436</v>
      </c>
      <c r="C518" t="s">
        <v>3326</v>
      </c>
      <c r="D518">
        <v>-1589</v>
      </c>
      <c r="F518">
        <v>35.9</v>
      </c>
      <c r="G518" t="s">
        <v>3326</v>
      </c>
      <c r="P518">
        <v>480</v>
      </c>
      <c r="Q518" t="s">
        <v>3455</v>
      </c>
      <c r="R518" t="s">
        <v>3327</v>
      </c>
      <c r="S518">
        <v>-115</v>
      </c>
      <c r="T518">
        <v>41.15</v>
      </c>
      <c r="U518" t="s">
        <v>3327</v>
      </c>
      <c r="W518">
        <v>480</v>
      </c>
      <c r="X518" t="s">
        <v>3436</v>
      </c>
      <c r="Y518" t="s">
        <v>3326</v>
      </c>
      <c r="Z518">
        <v>-1589</v>
      </c>
      <c r="AA518">
        <v>35.9</v>
      </c>
      <c r="AB518" t="s">
        <v>3326</v>
      </c>
    </row>
    <row r="519" spans="1:28">
      <c r="A519">
        <v>481</v>
      </c>
      <c r="B519" t="s">
        <v>3436</v>
      </c>
      <c r="C519" t="s">
        <v>3326</v>
      </c>
      <c r="D519">
        <v>-1590</v>
      </c>
      <c r="F519">
        <v>37.39</v>
      </c>
      <c r="G519" t="s">
        <v>3326</v>
      </c>
      <c r="P519">
        <v>481</v>
      </c>
      <c r="Q519" t="s">
        <v>3455</v>
      </c>
      <c r="R519" t="s">
        <v>3327</v>
      </c>
      <c r="S519">
        <v>-116</v>
      </c>
      <c r="T519">
        <v>56.69</v>
      </c>
      <c r="U519" t="s">
        <v>3327</v>
      </c>
      <c r="W519">
        <v>481</v>
      </c>
      <c r="X519" t="s">
        <v>3436</v>
      </c>
      <c r="Y519" t="s">
        <v>3326</v>
      </c>
      <c r="Z519">
        <v>-1590</v>
      </c>
      <c r="AA519">
        <v>37.39</v>
      </c>
      <c r="AB519" t="s">
        <v>3326</v>
      </c>
    </row>
    <row r="520" spans="1:28">
      <c r="A520">
        <v>482</v>
      </c>
      <c r="B520" t="s">
        <v>3436</v>
      </c>
      <c r="C520" t="s">
        <v>3326</v>
      </c>
      <c r="D520">
        <v>-1591</v>
      </c>
      <c r="F520">
        <v>37.39</v>
      </c>
      <c r="G520" t="s">
        <v>3326</v>
      </c>
      <c r="P520">
        <v>482</v>
      </c>
      <c r="Q520" t="s">
        <v>3455</v>
      </c>
      <c r="R520" t="s">
        <v>3327</v>
      </c>
      <c r="S520">
        <v>-117</v>
      </c>
      <c r="T520">
        <v>23.66</v>
      </c>
      <c r="U520" t="s">
        <v>3327</v>
      </c>
      <c r="W520">
        <v>482</v>
      </c>
      <c r="X520" t="s">
        <v>3436</v>
      </c>
      <c r="Y520" t="s">
        <v>3326</v>
      </c>
      <c r="Z520">
        <v>-1591</v>
      </c>
      <c r="AA520">
        <v>37.39</v>
      </c>
      <c r="AB520" t="s">
        <v>3326</v>
      </c>
    </row>
    <row r="521" spans="1:28">
      <c r="A521">
        <v>483</v>
      </c>
      <c r="B521" t="s">
        <v>3436</v>
      </c>
      <c r="C521" t="s">
        <v>3326</v>
      </c>
      <c r="D521">
        <v>-1592</v>
      </c>
      <c r="F521">
        <v>37.39</v>
      </c>
      <c r="G521" t="s">
        <v>3326</v>
      </c>
      <c r="P521">
        <v>483</v>
      </c>
      <c r="Q521" t="s">
        <v>3455</v>
      </c>
      <c r="R521" t="s">
        <v>3327</v>
      </c>
      <c r="S521">
        <v>-118</v>
      </c>
      <c r="T521">
        <v>23.66</v>
      </c>
      <c r="U521" t="s">
        <v>3327</v>
      </c>
      <c r="W521">
        <v>483</v>
      </c>
      <c r="X521" t="s">
        <v>3436</v>
      </c>
      <c r="Y521" t="s">
        <v>3326</v>
      </c>
      <c r="Z521">
        <v>-1592</v>
      </c>
      <c r="AA521">
        <v>37.39</v>
      </c>
      <c r="AB521" t="s">
        <v>3326</v>
      </c>
    </row>
    <row r="522" spans="1:28">
      <c r="A522">
        <v>484</v>
      </c>
      <c r="B522" t="s">
        <v>3436</v>
      </c>
      <c r="C522" t="s">
        <v>3326</v>
      </c>
      <c r="D522">
        <v>-1593</v>
      </c>
      <c r="F522">
        <v>37.39</v>
      </c>
      <c r="G522" t="s">
        <v>3326</v>
      </c>
      <c r="P522">
        <v>484</v>
      </c>
      <c r="Q522" t="s">
        <v>3455</v>
      </c>
      <c r="R522" t="s">
        <v>3327</v>
      </c>
      <c r="S522">
        <v>-119</v>
      </c>
      <c r="T522">
        <v>49.65</v>
      </c>
      <c r="U522" t="s">
        <v>3327</v>
      </c>
      <c r="W522">
        <v>484</v>
      </c>
      <c r="X522" t="s">
        <v>3436</v>
      </c>
      <c r="Y522" t="s">
        <v>3326</v>
      </c>
      <c r="Z522">
        <v>-1593</v>
      </c>
      <c r="AA522">
        <v>37.39</v>
      </c>
      <c r="AB522" t="s">
        <v>3326</v>
      </c>
    </row>
    <row r="523" spans="1:28">
      <c r="A523">
        <v>485</v>
      </c>
      <c r="B523" t="s">
        <v>3436</v>
      </c>
      <c r="C523" t="s">
        <v>3326</v>
      </c>
      <c r="D523">
        <v>-1594</v>
      </c>
      <c r="F523">
        <v>37.39</v>
      </c>
      <c r="G523" t="s">
        <v>3326</v>
      </c>
      <c r="P523">
        <v>485</v>
      </c>
      <c r="Q523" t="s">
        <v>3455</v>
      </c>
      <c r="R523" t="s">
        <v>3327</v>
      </c>
      <c r="S523">
        <v>-120</v>
      </c>
      <c r="T523">
        <v>48.02</v>
      </c>
      <c r="U523" t="s">
        <v>3327</v>
      </c>
      <c r="W523">
        <v>485</v>
      </c>
      <c r="X523" t="s">
        <v>3436</v>
      </c>
      <c r="Y523" t="s">
        <v>3326</v>
      </c>
      <c r="Z523">
        <v>-1594</v>
      </c>
      <c r="AA523">
        <v>37.39</v>
      </c>
      <c r="AB523" t="s">
        <v>3326</v>
      </c>
    </row>
    <row r="524" spans="1:28">
      <c r="A524">
        <v>486</v>
      </c>
      <c r="B524" t="s">
        <v>3436</v>
      </c>
      <c r="C524" t="s">
        <v>3326</v>
      </c>
      <c r="D524">
        <v>-1595</v>
      </c>
      <c r="F524">
        <v>37.39</v>
      </c>
      <c r="G524" t="s">
        <v>3326</v>
      </c>
      <c r="P524">
        <v>486</v>
      </c>
      <c r="Q524" t="s">
        <v>3455</v>
      </c>
      <c r="R524" t="s">
        <v>3327</v>
      </c>
      <c r="S524">
        <v>-121</v>
      </c>
      <c r="T524">
        <v>22.82</v>
      </c>
      <c r="U524" t="s">
        <v>3327</v>
      </c>
      <c r="W524">
        <v>486</v>
      </c>
      <c r="X524" t="s">
        <v>3436</v>
      </c>
      <c r="Y524" t="s">
        <v>3326</v>
      </c>
      <c r="Z524">
        <v>-1595</v>
      </c>
      <c r="AA524">
        <v>37.39</v>
      </c>
      <c r="AB524" t="s">
        <v>3326</v>
      </c>
    </row>
    <row r="525" spans="1:28">
      <c r="A525">
        <v>487</v>
      </c>
      <c r="B525" t="s">
        <v>3436</v>
      </c>
      <c r="C525" t="s">
        <v>3326</v>
      </c>
      <c r="D525">
        <v>-1596</v>
      </c>
      <c r="F525">
        <v>37.39</v>
      </c>
      <c r="G525" t="s">
        <v>3326</v>
      </c>
      <c r="P525">
        <v>487</v>
      </c>
      <c r="Q525" t="s">
        <v>3455</v>
      </c>
      <c r="R525" t="s">
        <v>3327</v>
      </c>
      <c r="S525">
        <v>-122</v>
      </c>
      <c r="T525">
        <v>28.01</v>
      </c>
      <c r="U525" t="s">
        <v>3327</v>
      </c>
      <c r="W525">
        <v>487</v>
      </c>
      <c r="X525" t="s">
        <v>3436</v>
      </c>
      <c r="Y525" t="s">
        <v>3326</v>
      </c>
      <c r="Z525">
        <v>-1596</v>
      </c>
      <c r="AA525">
        <v>37.39</v>
      </c>
      <c r="AB525" t="s">
        <v>3326</v>
      </c>
    </row>
    <row r="526" spans="1:28">
      <c r="A526">
        <v>488</v>
      </c>
      <c r="B526" t="s">
        <v>3436</v>
      </c>
      <c r="C526" t="s">
        <v>3326</v>
      </c>
      <c r="D526">
        <v>-1597</v>
      </c>
      <c r="F526">
        <v>37.39</v>
      </c>
      <c r="G526" t="s">
        <v>3326</v>
      </c>
      <c r="P526">
        <v>488</v>
      </c>
      <c r="Q526" t="s">
        <v>3455</v>
      </c>
      <c r="R526" t="s">
        <v>3327</v>
      </c>
      <c r="S526">
        <v>-123</v>
      </c>
      <c r="T526">
        <v>27.65</v>
      </c>
      <c r="U526" t="s">
        <v>3327</v>
      </c>
      <c r="W526">
        <v>488</v>
      </c>
      <c r="X526" t="s">
        <v>3436</v>
      </c>
      <c r="Y526" t="s">
        <v>3326</v>
      </c>
      <c r="Z526">
        <v>-1597</v>
      </c>
      <c r="AA526">
        <v>37.39</v>
      </c>
      <c r="AB526" t="s">
        <v>3326</v>
      </c>
    </row>
    <row r="527" spans="1:28">
      <c r="A527">
        <v>489</v>
      </c>
      <c r="B527" t="s">
        <v>3436</v>
      </c>
      <c r="C527" t="s">
        <v>3326</v>
      </c>
      <c r="D527">
        <v>-1600</v>
      </c>
      <c r="F527">
        <v>37.39</v>
      </c>
      <c r="G527" t="s">
        <v>3326</v>
      </c>
      <c r="P527">
        <v>489</v>
      </c>
      <c r="Q527" t="s">
        <v>3455</v>
      </c>
      <c r="R527" t="s">
        <v>3327</v>
      </c>
      <c r="S527">
        <v>-124</v>
      </c>
      <c r="T527">
        <v>19.170000000000002</v>
      </c>
      <c r="U527" t="s">
        <v>3327</v>
      </c>
      <c r="W527">
        <v>489</v>
      </c>
      <c r="X527" t="s">
        <v>3436</v>
      </c>
      <c r="Y527" t="s">
        <v>3326</v>
      </c>
      <c r="Z527">
        <v>-1600</v>
      </c>
      <c r="AA527">
        <v>37.39</v>
      </c>
      <c r="AB527" t="s">
        <v>3326</v>
      </c>
    </row>
    <row r="528" spans="1:28">
      <c r="A528">
        <v>490</v>
      </c>
      <c r="B528" t="s">
        <v>3436</v>
      </c>
      <c r="C528" t="s">
        <v>3326</v>
      </c>
      <c r="D528">
        <v>-1601</v>
      </c>
      <c r="F528">
        <v>37.39</v>
      </c>
      <c r="G528" t="s">
        <v>3326</v>
      </c>
      <c r="P528">
        <v>490</v>
      </c>
      <c r="Q528" t="s">
        <v>3455</v>
      </c>
      <c r="R528" t="s">
        <v>3327</v>
      </c>
      <c r="S528">
        <v>-125</v>
      </c>
      <c r="T528">
        <v>19.170000000000002</v>
      </c>
      <c r="U528" t="s">
        <v>3327</v>
      </c>
      <c r="W528">
        <v>490</v>
      </c>
      <c r="X528" t="s">
        <v>3436</v>
      </c>
      <c r="Y528" t="s">
        <v>3326</v>
      </c>
      <c r="Z528">
        <v>-1601</v>
      </c>
      <c r="AA528">
        <v>37.39</v>
      </c>
      <c r="AB528" t="s">
        <v>3326</v>
      </c>
    </row>
    <row r="529" spans="1:28">
      <c r="A529">
        <v>491</v>
      </c>
      <c r="B529" t="s">
        <v>3436</v>
      </c>
      <c r="C529" t="s">
        <v>3326</v>
      </c>
      <c r="D529">
        <v>-1602</v>
      </c>
      <c r="F529">
        <v>37.39</v>
      </c>
      <c r="G529" t="s">
        <v>3326</v>
      </c>
      <c r="P529">
        <v>491</v>
      </c>
      <c r="Q529" t="s">
        <v>3455</v>
      </c>
      <c r="R529" t="s">
        <v>3327</v>
      </c>
      <c r="S529">
        <v>-126</v>
      </c>
      <c r="T529">
        <v>27.82</v>
      </c>
      <c r="U529" t="s">
        <v>3327</v>
      </c>
      <c r="W529">
        <v>491</v>
      </c>
      <c r="X529" t="s">
        <v>3436</v>
      </c>
      <c r="Y529" t="s">
        <v>3326</v>
      </c>
      <c r="Z529">
        <v>-1602</v>
      </c>
      <c r="AA529">
        <v>37.39</v>
      </c>
      <c r="AB529" t="s">
        <v>3326</v>
      </c>
    </row>
    <row r="530" spans="1:28">
      <c r="A530">
        <v>492</v>
      </c>
      <c r="B530" t="s">
        <v>3436</v>
      </c>
      <c r="C530" t="s">
        <v>3326</v>
      </c>
      <c r="D530">
        <v>-1603</v>
      </c>
      <c r="F530">
        <v>37.39</v>
      </c>
      <c r="G530" t="s">
        <v>3326</v>
      </c>
      <c r="P530">
        <v>492</v>
      </c>
      <c r="Q530" t="s">
        <v>3455</v>
      </c>
      <c r="R530" t="s">
        <v>3327</v>
      </c>
      <c r="S530">
        <v>-127</v>
      </c>
      <c r="T530">
        <v>27.65</v>
      </c>
      <c r="U530" t="s">
        <v>3327</v>
      </c>
      <c r="W530">
        <v>492</v>
      </c>
      <c r="X530" t="s">
        <v>3436</v>
      </c>
      <c r="Y530" t="s">
        <v>3326</v>
      </c>
      <c r="Z530">
        <v>-1603</v>
      </c>
      <c r="AA530">
        <v>37.39</v>
      </c>
      <c r="AB530" t="s">
        <v>3326</v>
      </c>
    </row>
    <row r="531" spans="1:28">
      <c r="A531">
        <v>493</v>
      </c>
      <c r="B531" t="s">
        <v>3436</v>
      </c>
      <c r="C531" t="s">
        <v>3326</v>
      </c>
      <c r="D531">
        <v>-1604</v>
      </c>
      <c r="F531">
        <v>37.39</v>
      </c>
      <c r="G531" t="s">
        <v>3326</v>
      </c>
      <c r="P531">
        <v>493</v>
      </c>
      <c r="Q531" t="s">
        <v>3455</v>
      </c>
      <c r="R531" t="s">
        <v>3327</v>
      </c>
      <c r="S531">
        <v>-128</v>
      </c>
      <c r="T531">
        <v>19.809999999999999</v>
      </c>
      <c r="U531" t="s">
        <v>3327</v>
      </c>
      <c r="W531">
        <v>493</v>
      </c>
      <c r="X531" t="s">
        <v>3436</v>
      </c>
      <c r="Y531" t="s">
        <v>3326</v>
      </c>
      <c r="Z531">
        <v>-1604</v>
      </c>
      <c r="AA531">
        <v>37.39</v>
      </c>
      <c r="AB531" t="s">
        <v>3326</v>
      </c>
    </row>
    <row r="532" spans="1:28">
      <c r="A532">
        <v>494</v>
      </c>
      <c r="B532" t="s">
        <v>3436</v>
      </c>
      <c r="C532" t="s">
        <v>3326</v>
      </c>
      <c r="D532">
        <v>-1605</v>
      </c>
      <c r="F532">
        <v>37.39</v>
      </c>
      <c r="G532" t="s">
        <v>3326</v>
      </c>
      <c r="P532">
        <v>494</v>
      </c>
      <c r="Q532" t="s">
        <v>3455</v>
      </c>
      <c r="R532" t="s">
        <v>3327</v>
      </c>
      <c r="S532">
        <v>-129</v>
      </c>
      <c r="T532">
        <v>19.809999999999999</v>
      </c>
      <c r="U532" t="s">
        <v>3327</v>
      </c>
      <c r="W532">
        <v>494</v>
      </c>
      <c r="X532" t="s">
        <v>3436</v>
      </c>
      <c r="Y532" t="s">
        <v>3326</v>
      </c>
      <c r="Z532">
        <v>-1605</v>
      </c>
      <c r="AA532">
        <v>37.39</v>
      </c>
      <c r="AB532" t="s">
        <v>3326</v>
      </c>
    </row>
    <row r="533" spans="1:28">
      <c r="A533">
        <v>495</v>
      </c>
      <c r="B533" t="s">
        <v>3436</v>
      </c>
      <c r="C533" t="s">
        <v>3326</v>
      </c>
      <c r="D533">
        <v>-1606</v>
      </c>
      <c r="F533">
        <v>37.39</v>
      </c>
      <c r="G533" t="s">
        <v>3326</v>
      </c>
      <c r="P533">
        <v>495</v>
      </c>
      <c r="Q533" t="s">
        <v>3455</v>
      </c>
      <c r="R533" t="s">
        <v>3327</v>
      </c>
      <c r="S533">
        <v>-130</v>
      </c>
      <c r="T533">
        <v>27.65</v>
      </c>
      <c r="U533" t="s">
        <v>3327</v>
      </c>
      <c r="W533">
        <v>495</v>
      </c>
      <c r="X533" t="s">
        <v>3436</v>
      </c>
      <c r="Y533" t="s">
        <v>3326</v>
      </c>
      <c r="Z533">
        <v>-1606</v>
      </c>
      <c r="AA533">
        <v>37.39</v>
      </c>
      <c r="AB533" t="s">
        <v>3326</v>
      </c>
    </row>
    <row r="534" spans="1:28">
      <c r="A534">
        <v>496</v>
      </c>
      <c r="B534" t="s">
        <v>3436</v>
      </c>
      <c r="C534" t="s">
        <v>3326</v>
      </c>
      <c r="D534">
        <v>-1607</v>
      </c>
      <c r="F534">
        <v>37.39</v>
      </c>
      <c r="G534" t="s">
        <v>3326</v>
      </c>
      <c r="P534">
        <v>496</v>
      </c>
      <c r="Q534" t="s">
        <v>3455</v>
      </c>
      <c r="R534" t="s">
        <v>3327</v>
      </c>
      <c r="S534">
        <v>-202</v>
      </c>
      <c r="T534">
        <v>16.36</v>
      </c>
      <c r="U534" t="s">
        <v>3327</v>
      </c>
      <c r="W534">
        <v>496</v>
      </c>
      <c r="X534" t="s">
        <v>3436</v>
      </c>
      <c r="Y534" t="s">
        <v>3326</v>
      </c>
      <c r="Z534">
        <v>-1607</v>
      </c>
      <c r="AA534">
        <v>37.39</v>
      </c>
      <c r="AB534" t="s">
        <v>3326</v>
      </c>
    </row>
    <row r="535" spans="1:28">
      <c r="A535">
        <v>497</v>
      </c>
      <c r="B535" t="s">
        <v>3436</v>
      </c>
      <c r="C535" t="s">
        <v>3326</v>
      </c>
      <c r="D535">
        <v>-1608</v>
      </c>
      <c r="F535">
        <v>37.39</v>
      </c>
      <c r="G535" t="s">
        <v>3326</v>
      </c>
      <c r="P535">
        <v>497</v>
      </c>
      <c r="Q535" t="s">
        <v>3455</v>
      </c>
      <c r="R535" t="s">
        <v>3327</v>
      </c>
      <c r="S535">
        <v>-203</v>
      </c>
      <c r="T535">
        <v>12.4</v>
      </c>
      <c r="U535" t="s">
        <v>3327</v>
      </c>
      <c r="W535">
        <v>497</v>
      </c>
      <c r="X535" t="s">
        <v>3436</v>
      </c>
      <c r="Y535" t="s">
        <v>3326</v>
      </c>
      <c r="Z535">
        <v>-1608</v>
      </c>
      <c r="AA535">
        <v>37.39</v>
      </c>
      <c r="AB535" t="s">
        <v>3326</v>
      </c>
    </row>
    <row r="536" spans="1:28">
      <c r="A536">
        <v>498</v>
      </c>
      <c r="B536" t="s">
        <v>3436</v>
      </c>
      <c r="C536" t="s">
        <v>3326</v>
      </c>
      <c r="D536">
        <v>-1609</v>
      </c>
      <c r="F536">
        <v>37.39</v>
      </c>
      <c r="G536" t="s">
        <v>3326</v>
      </c>
      <c r="P536">
        <v>498</v>
      </c>
      <c r="Q536" t="s">
        <v>3455</v>
      </c>
      <c r="R536" t="s">
        <v>3327</v>
      </c>
      <c r="S536">
        <v>-204</v>
      </c>
      <c r="T536">
        <v>16.36</v>
      </c>
      <c r="U536" t="s">
        <v>3327</v>
      </c>
      <c r="W536">
        <v>498</v>
      </c>
      <c r="X536" t="s">
        <v>3436</v>
      </c>
      <c r="Y536" t="s">
        <v>3326</v>
      </c>
      <c r="Z536">
        <v>-1609</v>
      </c>
      <c r="AA536">
        <v>37.39</v>
      </c>
      <c r="AB536" t="s">
        <v>3326</v>
      </c>
    </row>
    <row r="537" spans="1:28">
      <c r="A537">
        <v>499</v>
      </c>
      <c r="B537" t="s">
        <v>3436</v>
      </c>
      <c r="C537" t="s">
        <v>3326</v>
      </c>
      <c r="D537">
        <v>-1610</v>
      </c>
      <c r="F537">
        <v>37.39</v>
      </c>
      <c r="G537" t="s">
        <v>3326</v>
      </c>
      <c r="P537">
        <v>499</v>
      </c>
      <c r="Q537" t="s">
        <v>3455</v>
      </c>
      <c r="R537" t="s">
        <v>3327</v>
      </c>
      <c r="S537">
        <v>-205</v>
      </c>
      <c r="T537">
        <v>16.36</v>
      </c>
      <c r="U537" t="s">
        <v>3327</v>
      </c>
      <c r="W537">
        <v>499</v>
      </c>
      <c r="X537" t="s">
        <v>3436</v>
      </c>
      <c r="Y537" t="s">
        <v>3326</v>
      </c>
      <c r="Z537">
        <v>-1610</v>
      </c>
      <c r="AA537">
        <v>37.39</v>
      </c>
      <c r="AB537" t="s">
        <v>3326</v>
      </c>
    </row>
    <row r="538" spans="1:28">
      <c r="A538">
        <v>500</v>
      </c>
      <c r="B538" t="s">
        <v>3436</v>
      </c>
      <c r="C538" t="s">
        <v>3326</v>
      </c>
      <c r="D538">
        <v>-1611</v>
      </c>
      <c r="F538">
        <v>37.39</v>
      </c>
      <c r="G538" t="s">
        <v>3326</v>
      </c>
      <c r="P538">
        <v>500</v>
      </c>
      <c r="Q538" t="s">
        <v>3455</v>
      </c>
      <c r="R538" t="s">
        <v>3327</v>
      </c>
      <c r="S538">
        <v>-206</v>
      </c>
      <c r="T538">
        <v>17.04</v>
      </c>
      <c r="U538" t="s">
        <v>3327</v>
      </c>
      <c r="W538">
        <v>500</v>
      </c>
      <c r="X538" t="s">
        <v>3436</v>
      </c>
      <c r="Y538" t="s">
        <v>3326</v>
      </c>
      <c r="Z538">
        <v>-1611</v>
      </c>
      <c r="AA538">
        <v>37.39</v>
      </c>
      <c r="AB538" t="s">
        <v>3326</v>
      </c>
    </row>
    <row r="539" spans="1:28">
      <c r="A539">
        <v>501</v>
      </c>
      <c r="B539" t="s">
        <v>3436</v>
      </c>
      <c r="C539" t="s">
        <v>3326</v>
      </c>
      <c r="D539">
        <v>-1612</v>
      </c>
      <c r="F539">
        <v>37.39</v>
      </c>
      <c r="G539" t="s">
        <v>3326</v>
      </c>
      <c r="P539">
        <v>501</v>
      </c>
      <c r="Q539" t="s">
        <v>3456</v>
      </c>
      <c r="R539" t="s">
        <v>3327</v>
      </c>
      <c r="S539">
        <v>-101</v>
      </c>
      <c r="T539">
        <v>31.03</v>
      </c>
      <c r="U539" t="s">
        <v>3327</v>
      </c>
      <c r="W539">
        <v>501</v>
      </c>
      <c r="X539" t="s">
        <v>3436</v>
      </c>
      <c r="Y539" t="s">
        <v>3326</v>
      </c>
      <c r="Z539">
        <v>-1612</v>
      </c>
      <c r="AA539">
        <v>37.39</v>
      </c>
      <c r="AB539" t="s">
        <v>3326</v>
      </c>
    </row>
    <row r="540" spans="1:28">
      <c r="A540">
        <v>502</v>
      </c>
      <c r="B540" t="s">
        <v>3436</v>
      </c>
      <c r="C540" t="s">
        <v>3326</v>
      </c>
      <c r="D540">
        <v>-1613</v>
      </c>
      <c r="F540">
        <v>37.39</v>
      </c>
      <c r="G540" t="s">
        <v>3326</v>
      </c>
      <c r="P540">
        <v>502</v>
      </c>
      <c r="Q540" t="s">
        <v>3456</v>
      </c>
      <c r="R540" t="s">
        <v>3327</v>
      </c>
      <c r="S540">
        <v>-102</v>
      </c>
      <c r="T540">
        <v>16.079999999999998</v>
      </c>
      <c r="U540" t="s">
        <v>3327</v>
      </c>
      <c r="W540">
        <v>502</v>
      </c>
      <c r="X540" t="s">
        <v>3436</v>
      </c>
      <c r="Y540" t="s">
        <v>3326</v>
      </c>
      <c r="Z540">
        <v>-1613</v>
      </c>
      <c r="AA540">
        <v>37.39</v>
      </c>
      <c r="AB540" t="s">
        <v>3326</v>
      </c>
    </row>
    <row r="541" spans="1:28">
      <c r="A541">
        <v>503</v>
      </c>
      <c r="B541" t="s">
        <v>3436</v>
      </c>
      <c r="C541" t="s">
        <v>3326</v>
      </c>
      <c r="D541">
        <v>-1614</v>
      </c>
      <c r="F541">
        <v>37.39</v>
      </c>
      <c r="G541" t="s">
        <v>3326</v>
      </c>
      <c r="P541">
        <v>503</v>
      </c>
      <c r="Q541" t="s">
        <v>3456</v>
      </c>
      <c r="R541" t="s">
        <v>3327</v>
      </c>
      <c r="S541">
        <v>-103</v>
      </c>
      <c r="T541">
        <v>46.54</v>
      </c>
      <c r="U541" t="s">
        <v>3327</v>
      </c>
      <c r="W541">
        <v>503</v>
      </c>
      <c r="X541" t="s">
        <v>3436</v>
      </c>
      <c r="Y541" t="s">
        <v>3326</v>
      </c>
      <c r="Z541">
        <v>-1614</v>
      </c>
      <c r="AA541">
        <v>37.39</v>
      </c>
      <c r="AB541" t="s">
        <v>3326</v>
      </c>
    </row>
    <row r="542" spans="1:28">
      <c r="A542">
        <v>504</v>
      </c>
      <c r="B542" t="s">
        <v>3436</v>
      </c>
      <c r="C542" t="s">
        <v>3326</v>
      </c>
      <c r="D542">
        <v>-1615</v>
      </c>
      <c r="F542">
        <v>37.39</v>
      </c>
      <c r="G542" t="s">
        <v>3326</v>
      </c>
      <c r="P542">
        <v>504</v>
      </c>
      <c r="Q542" t="s">
        <v>3456</v>
      </c>
      <c r="R542" t="s">
        <v>3327</v>
      </c>
      <c r="S542">
        <v>-104</v>
      </c>
      <c r="T542">
        <v>53.76</v>
      </c>
      <c r="U542" t="s">
        <v>3327</v>
      </c>
      <c r="W542">
        <v>504</v>
      </c>
      <c r="X542" t="s">
        <v>3436</v>
      </c>
      <c r="Y542" t="s">
        <v>3326</v>
      </c>
      <c r="Z542">
        <v>-1615</v>
      </c>
      <c r="AA542">
        <v>37.39</v>
      </c>
      <c r="AB542" t="s">
        <v>3326</v>
      </c>
    </row>
    <row r="543" spans="1:28">
      <c r="A543">
        <v>505</v>
      </c>
      <c r="B543" t="s">
        <v>3436</v>
      </c>
      <c r="C543" t="s">
        <v>3326</v>
      </c>
      <c r="D543">
        <v>-1616</v>
      </c>
      <c r="F543">
        <v>37.39</v>
      </c>
      <c r="G543" t="s">
        <v>3326</v>
      </c>
      <c r="P543">
        <v>505</v>
      </c>
      <c r="Q543" t="s">
        <v>3456</v>
      </c>
      <c r="R543" t="s">
        <v>3327</v>
      </c>
      <c r="S543">
        <v>-105</v>
      </c>
      <c r="T543">
        <v>23.66</v>
      </c>
      <c r="U543" t="s">
        <v>3327</v>
      </c>
      <c r="W543">
        <v>505</v>
      </c>
      <c r="X543" t="s">
        <v>3436</v>
      </c>
      <c r="Y543" t="s">
        <v>3326</v>
      </c>
      <c r="Z543">
        <v>-1616</v>
      </c>
      <c r="AA543">
        <v>37.39</v>
      </c>
      <c r="AB543" t="s">
        <v>3326</v>
      </c>
    </row>
    <row r="544" spans="1:28">
      <c r="A544">
        <v>506</v>
      </c>
      <c r="B544" t="s">
        <v>3436</v>
      </c>
      <c r="C544" t="s">
        <v>3326</v>
      </c>
      <c r="D544">
        <v>-1617</v>
      </c>
      <c r="F544">
        <v>37.39</v>
      </c>
      <c r="G544" t="s">
        <v>3326</v>
      </c>
      <c r="P544">
        <v>506</v>
      </c>
      <c r="Q544" t="s">
        <v>3456</v>
      </c>
      <c r="R544" t="s">
        <v>3327</v>
      </c>
      <c r="S544">
        <v>-106</v>
      </c>
      <c r="T544">
        <v>23.66</v>
      </c>
      <c r="U544" t="s">
        <v>3327</v>
      </c>
      <c r="W544">
        <v>506</v>
      </c>
      <c r="X544" t="s">
        <v>3436</v>
      </c>
      <c r="Y544" t="s">
        <v>3326</v>
      </c>
      <c r="Z544">
        <v>-1617</v>
      </c>
      <c r="AA544">
        <v>37.39</v>
      </c>
      <c r="AB544" t="s">
        <v>3326</v>
      </c>
    </row>
    <row r="545" spans="1:28">
      <c r="A545">
        <v>507</v>
      </c>
      <c r="B545" t="s">
        <v>3436</v>
      </c>
      <c r="C545" t="s">
        <v>3326</v>
      </c>
      <c r="D545">
        <v>-1618</v>
      </c>
      <c r="F545">
        <v>37.39</v>
      </c>
      <c r="G545" t="s">
        <v>3326</v>
      </c>
      <c r="P545">
        <v>507</v>
      </c>
      <c r="Q545" t="s">
        <v>3456</v>
      </c>
      <c r="R545" t="s">
        <v>3327</v>
      </c>
      <c r="S545">
        <v>-107</v>
      </c>
      <c r="T545">
        <v>56.69</v>
      </c>
      <c r="U545" t="s">
        <v>3327</v>
      </c>
      <c r="W545">
        <v>507</v>
      </c>
      <c r="X545" t="s">
        <v>3436</v>
      </c>
      <c r="Y545" t="s">
        <v>3326</v>
      </c>
      <c r="Z545">
        <v>-1618</v>
      </c>
      <c r="AA545">
        <v>37.39</v>
      </c>
      <c r="AB545" t="s">
        <v>3326</v>
      </c>
    </row>
    <row r="546" spans="1:28">
      <c r="A546">
        <v>508</v>
      </c>
      <c r="B546" t="s">
        <v>3436</v>
      </c>
      <c r="C546" t="s">
        <v>3326</v>
      </c>
      <c r="D546">
        <v>-1619</v>
      </c>
      <c r="F546">
        <v>37.39</v>
      </c>
      <c r="G546" t="s">
        <v>3326</v>
      </c>
      <c r="P546">
        <v>508</v>
      </c>
      <c r="Q546" t="s">
        <v>3456</v>
      </c>
      <c r="R546" t="s">
        <v>3327</v>
      </c>
      <c r="S546">
        <v>-108</v>
      </c>
      <c r="T546">
        <v>41.15</v>
      </c>
      <c r="U546" t="s">
        <v>3327</v>
      </c>
      <c r="W546">
        <v>508</v>
      </c>
      <c r="X546" t="s">
        <v>3436</v>
      </c>
      <c r="Y546" t="s">
        <v>3326</v>
      </c>
      <c r="Z546">
        <v>-1619</v>
      </c>
      <c r="AA546">
        <v>37.39</v>
      </c>
      <c r="AB546" t="s">
        <v>3326</v>
      </c>
    </row>
    <row r="547" spans="1:28">
      <c r="A547">
        <v>509</v>
      </c>
      <c r="B547" t="s">
        <v>3436</v>
      </c>
      <c r="C547" t="s">
        <v>3326</v>
      </c>
      <c r="D547">
        <v>-1620</v>
      </c>
      <c r="F547">
        <v>37.39</v>
      </c>
      <c r="G547" t="s">
        <v>3326</v>
      </c>
      <c r="P547">
        <v>509</v>
      </c>
      <c r="Q547" t="s">
        <v>3456</v>
      </c>
      <c r="R547" t="s">
        <v>3327</v>
      </c>
      <c r="S547">
        <v>-109</v>
      </c>
      <c r="T547">
        <v>41.15</v>
      </c>
      <c r="U547" t="s">
        <v>3327</v>
      </c>
      <c r="W547">
        <v>509</v>
      </c>
      <c r="X547" t="s">
        <v>3436</v>
      </c>
      <c r="Y547" t="s">
        <v>3326</v>
      </c>
      <c r="Z547">
        <v>-1620</v>
      </c>
      <c r="AA547">
        <v>37.39</v>
      </c>
      <c r="AB547" t="s">
        <v>3326</v>
      </c>
    </row>
    <row r="548" spans="1:28">
      <c r="A548">
        <v>510</v>
      </c>
      <c r="B548" t="s">
        <v>3436</v>
      </c>
      <c r="C548" t="s">
        <v>3326</v>
      </c>
      <c r="D548">
        <v>-1621</v>
      </c>
      <c r="F548">
        <v>37.39</v>
      </c>
      <c r="G548" t="s">
        <v>3326</v>
      </c>
      <c r="P548">
        <v>510</v>
      </c>
      <c r="Q548" t="s">
        <v>3456</v>
      </c>
      <c r="R548" t="s">
        <v>3327</v>
      </c>
      <c r="S548">
        <v>-110</v>
      </c>
      <c r="T548">
        <v>56.69</v>
      </c>
      <c r="U548" t="s">
        <v>3327</v>
      </c>
      <c r="W548">
        <v>510</v>
      </c>
      <c r="X548" t="s">
        <v>3436</v>
      </c>
      <c r="Y548" t="s">
        <v>3326</v>
      </c>
      <c r="Z548">
        <v>-1621</v>
      </c>
      <c r="AA548">
        <v>37.39</v>
      </c>
      <c r="AB548" t="s">
        <v>3326</v>
      </c>
    </row>
    <row r="549" spans="1:28">
      <c r="A549">
        <v>511</v>
      </c>
      <c r="B549" t="s">
        <v>3436</v>
      </c>
      <c r="C549" t="s">
        <v>3326</v>
      </c>
      <c r="D549">
        <v>-1622</v>
      </c>
      <c r="F549">
        <v>37.39</v>
      </c>
      <c r="G549" t="s">
        <v>3326</v>
      </c>
      <c r="P549">
        <v>511</v>
      </c>
      <c r="Q549" t="s">
        <v>3456</v>
      </c>
      <c r="R549" t="s">
        <v>3327</v>
      </c>
      <c r="S549">
        <v>-111</v>
      </c>
      <c r="T549">
        <v>23.66</v>
      </c>
      <c r="U549" t="s">
        <v>3327</v>
      </c>
      <c r="W549">
        <v>511</v>
      </c>
      <c r="X549" t="s">
        <v>3436</v>
      </c>
      <c r="Y549" t="s">
        <v>3326</v>
      </c>
      <c r="Z549">
        <v>-1622</v>
      </c>
      <c r="AA549">
        <v>37.39</v>
      </c>
      <c r="AB549" t="s">
        <v>3326</v>
      </c>
    </row>
    <row r="550" spans="1:28">
      <c r="A550">
        <v>512</v>
      </c>
      <c r="B550" t="s">
        <v>3436</v>
      </c>
      <c r="C550" t="s">
        <v>3326</v>
      </c>
      <c r="D550">
        <v>-1623</v>
      </c>
      <c r="F550">
        <v>37.39</v>
      </c>
      <c r="G550" t="s">
        <v>3326</v>
      </c>
      <c r="P550">
        <v>512</v>
      </c>
      <c r="Q550" t="s">
        <v>3456</v>
      </c>
      <c r="R550" t="s">
        <v>3327</v>
      </c>
      <c r="S550">
        <v>-112</v>
      </c>
      <c r="T550">
        <v>23.66</v>
      </c>
      <c r="U550" t="s">
        <v>3327</v>
      </c>
      <c r="W550">
        <v>512</v>
      </c>
      <c r="X550" t="s">
        <v>3436</v>
      </c>
      <c r="Y550" t="s">
        <v>3326</v>
      </c>
      <c r="Z550">
        <v>-1623</v>
      </c>
      <c r="AA550">
        <v>37.39</v>
      </c>
      <c r="AB550" t="s">
        <v>3326</v>
      </c>
    </row>
    <row r="551" spans="1:28">
      <c r="A551">
        <v>513</v>
      </c>
      <c r="B551" t="s">
        <v>3436</v>
      </c>
      <c r="C551" t="s">
        <v>3326</v>
      </c>
      <c r="D551">
        <v>-1624</v>
      </c>
      <c r="F551">
        <v>37.39</v>
      </c>
      <c r="G551" t="s">
        <v>3326</v>
      </c>
      <c r="P551">
        <v>513</v>
      </c>
      <c r="Q551" t="s">
        <v>3456</v>
      </c>
      <c r="R551" t="s">
        <v>3327</v>
      </c>
      <c r="S551">
        <v>-113</v>
      </c>
      <c r="T551">
        <v>49.66</v>
      </c>
      <c r="U551" t="s">
        <v>3327</v>
      </c>
      <c r="W551">
        <v>513</v>
      </c>
      <c r="X551" t="s">
        <v>3436</v>
      </c>
      <c r="Y551" t="s">
        <v>3326</v>
      </c>
      <c r="Z551">
        <v>-1624</v>
      </c>
      <c r="AA551">
        <v>37.39</v>
      </c>
      <c r="AB551" t="s">
        <v>3326</v>
      </c>
    </row>
    <row r="552" spans="1:28">
      <c r="A552">
        <v>514</v>
      </c>
      <c r="B552" t="s">
        <v>3436</v>
      </c>
      <c r="C552" t="s">
        <v>3326</v>
      </c>
      <c r="D552">
        <v>-1625</v>
      </c>
      <c r="F552">
        <v>37.39</v>
      </c>
      <c r="G552" t="s">
        <v>3326</v>
      </c>
      <c r="P552">
        <v>514</v>
      </c>
      <c r="Q552" t="s">
        <v>3456</v>
      </c>
      <c r="R552" t="s">
        <v>3327</v>
      </c>
      <c r="S552">
        <v>-114</v>
      </c>
      <c r="T552">
        <v>48.03</v>
      </c>
      <c r="U552" t="s">
        <v>3327</v>
      </c>
      <c r="W552">
        <v>514</v>
      </c>
      <c r="X552" t="s">
        <v>3436</v>
      </c>
      <c r="Y552" t="s">
        <v>3326</v>
      </c>
      <c r="Z552">
        <v>-1625</v>
      </c>
      <c r="AA552">
        <v>37.39</v>
      </c>
      <c r="AB552" t="s">
        <v>3326</v>
      </c>
    </row>
    <row r="553" spans="1:28">
      <c r="A553">
        <v>515</v>
      </c>
      <c r="B553" t="s">
        <v>3436</v>
      </c>
      <c r="C553" t="s">
        <v>3326</v>
      </c>
      <c r="D553">
        <v>-1626</v>
      </c>
      <c r="F553">
        <v>37.39</v>
      </c>
      <c r="G553" t="s">
        <v>3326</v>
      </c>
      <c r="P553">
        <v>515</v>
      </c>
      <c r="Q553" t="s">
        <v>3456</v>
      </c>
      <c r="R553" t="s">
        <v>3327</v>
      </c>
      <c r="S553">
        <v>-115</v>
      </c>
      <c r="T553">
        <v>22.82</v>
      </c>
      <c r="U553" t="s">
        <v>3327</v>
      </c>
      <c r="W553">
        <v>515</v>
      </c>
      <c r="X553" t="s">
        <v>3436</v>
      </c>
      <c r="Y553" t="s">
        <v>3326</v>
      </c>
      <c r="Z553">
        <v>-1626</v>
      </c>
      <c r="AA553">
        <v>37.39</v>
      </c>
      <c r="AB553" t="s">
        <v>3326</v>
      </c>
    </row>
    <row r="554" spans="1:28">
      <c r="A554">
        <v>516</v>
      </c>
      <c r="B554" t="s">
        <v>3436</v>
      </c>
      <c r="C554" t="s">
        <v>3326</v>
      </c>
      <c r="D554">
        <v>-1627</v>
      </c>
      <c r="F554">
        <v>37.39</v>
      </c>
      <c r="G554" t="s">
        <v>3326</v>
      </c>
      <c r="P554">
        <v>516</v>
      </c>
      <c r="Q554" t="s">
        <v>3456</v>
      </c>
      <c r="R554" t="s">
        <v>3327</v>
      </c>
      <c r="S554">
        <v>-116</v>
      </c>
      <c r="T554">
        <v>28.01</v>
      </c>
      <c r="U554" t="s">
        <v>3327</v>
      </c>
      <c r="W554">
        <v>516</v>
      </c>
      <c r="X554" t="s">
        <v>3436</v>
      </c>
      <c r="Y554" t="s">
        <v>3326</v>
      </c>
      <c r="Z554">
        <v>-1627</v>
      </c>
      <c r="AA554">
        <v>37.39</v>
      </c>
      <c r="AB554" t="s">
        <v>3326</v>
      </c>
    </row>
    <row r="555" spans="1:28">
      <c r="A555">
        <v>517</v>
      </c>
      <c r="B555" t="s">
        <v>3436</v>
      </c>
      <c r="C555" t="s">
        <v>3326</v>
      </c>
      <c r="D555">
        <v>-1628</v>
      </c>
      <c r="F555">
        <v>37.39</v>
      </c>
      <c r="G555" t="s">
        <v>3326</v>
      </c>
      <c r="P555">
        <v>517</v>
      </c>
      <c r="Q555" t="s">
        <v>3456</v>
      </c>
      <c r="R555" t="s">
        <v>3327</v>
      </c>
      <c r="S555">
        <v>-117</v>
      </c>
      <c r="T555">
        <v>27.65</v>
      </c>
      <c r="U555" t="s">
        <v>3327</v>
      </c>
      <c r="W555">
        <v>517</v>
      </c>
      <c r="X555" t="s">
        <v>3436</v>
      </c>
      <c r="Y555" t="s">
        <v>3326</v>
      </c>
      <c r="Z555">
        <v>-1628</v>
      </c>
      <c r="AA555">
        <v>37.39</v>
      </c>
      <c r="AB555" t="s">
        <v>3326</v>
      </c>
    </row>
    <row r="556" spans="1:28">
      <c r="A556">
        <v>518</v>
      </c>
      <c r="B556" t="s">
        <v>3436</v>
      </c>
      <c r="C556" t="s">
        <v>3326</v>
      </c>
      <c r="D556">
        <v>-1629</v>
      </c>
      <c r="F556">
        <v>37.39</v>
      </c>
      <c r="G556" t="s">
        <v>3326</v>
      </c>
      <c r="P556">
        <v>518</v>
      </c>
      <c r="Q556" t="s">
        <v>3456</v>
      </c>
      <c r="R556" t="s">
        <v>3327</v>
      </c>
      <c r="S556">
        <v>-118</v>
      </c>
      <c r="T556">
        <v>19.170000000000002</v>
      </c>
      <c r="U556" t="s">
        <v>3327</v>
      </c>
      <c r="W556">
        <v>518</v>
      </c>
      <c r="X556" t="s">
        <v>3436</v>
      </c>
      <c r="Y556" t="s">
        <v>3326</v>
      </c>
      <c r="Z556">
        <v>-1629</v>
      </c>
      <c r="AA556">
        <v>37.39</v>
      </c>
      <c r="AB556" t="s">
        <v>3326</v>
      </c>
    </row>
    <row r="557" spans="1:28">
      <c r="A557">
        <v>519</v>
      </c>
      <c r="B557" t="s">
        <v>3436</v>
      </c>
      <c r="C557" t="s">
        <v>3326</v>
      </c>
      <c r="D557">
        <v>-1630</v>
      </c>
      <c r="F557">
        <v>37.39</v>
      </c>
      <c r="G557" t="s">
        <v>3326</v>
      </c>
      <c r="P557">
        <v>519</v>
      </c>
      <c r="Q557" t="s">
        <v>3456</v>
      </c>
      <c r="R557" t="s">
        <v>3327</v>
      </c>
      <c r="S557">
        <v>-119</v>
      </c>
      <c r="T557">
        <v>19.170000000000002</v>
      </c>
      <c r="U557" t="s">
        <v>3327</v>
      </c>
      <c r="W557">
        <v>519</v>
      </c>
      <c r="X557" t="s">
        <v>3436</v>
      </c>
      <c r="Y557" t="s">
        <v>3326</v>
      </c>
      <c r="Z557">
        <v>-1630</v>
      </c>
      <c r="AA557">
        <v>37.39</v>
      </c>
      <c r="AB557" t="s">
        <v>3326</v>
      </c>
    </row>
    <row r="558" spans="1:28">
      <c r="A558">
        <v>520</v>
      </c>
      <c r="B558" t="s">
        <v>3436</v>
      </c>
      <c r="C558" t="s">
        <v>3326</v>
      </c>
      <c r="D558">
        <v>-1632</v>
      </c>
      <c r="F558">
        <v>37.39</v>
      </c>
      <c r="G558" t="s">
        <v>3326</v>
      </c>
      <c r="P558">
        <v>520</v>
      </c>
      <c r="Q558" t="s">
        <v>3456</v>
      </c>
      <c r="R558" t="s">
        <v>3327</v>
      </c>
      <c r="S558">
        <v>-120</v>
      </c>
      <c r="T558">
        <v>27.65</v>
      </c>
      <c r="U558" t="s">
        <v>3327</v>
      </c>
      <c r="W558">
        <v>520</v>
      </c>
      <c r="X558" t="s">
        <v>3436</v>
      </c>
      <c r="Y558" t="s">
        <v>3326</v>
      </c>
      <c r="Z558">
        <v>-1632</v>
      </c>
      <c r="AA558">
        <v>37.39</v>
      </c>
      <c r="AB558" t="s">
        <v>3326</v>
      </c>
    </row>
    <row r="559" spans="1:28">
      <c r="A559">
        <v>521</v>
      </c>
      <c r="B559" t="s">
        <v>3436</v>
      </c>
      <c r="C559" t="s">
        <v>3326</v>
      </c>
      <c r="D559">
        <v>-1633</v>
      </c>
      <c r="F559">
        <v>37.39</v>
      </c>
      <c r="G559" t="s">
        <v>3326</v>
      </c>
      <c r="P559">
        <v>521</v>
      </c>
      <c r="Q559" t="s">
        <v>3456</v>
      </c>
      <c r="R559" t="s">
        <v>3327</v>
      </c>
      <c r="S559">
        <v>-201</v>
      </c>
      <c r="T559">
        <v>18.350000000000001</v>
      </c>
      <c r="U559" t="s">
        <v>3327</v>
      </c>
      <c r="W559">
        <v>521</v>
      </c>
      <c r="X559" t="s">
        <v>3436</v>
      </c>
      <c r="Y559" t="s">
        <v>3326</v>
      </c>
      <c r="Z559">
        <v>-1633</v>
      </c>
      <c r="AA559">
        <v>37.39</v>
      </c>
      <c r="AB559" t="s">
        <v>3326</v>
      </c>
    </row>
    <row r="560" spans="1:28">
      <c r="A560">
        <v>522</v>
      </c>
      <c r="B560" t="s">
        <v>3436</v>
      </c>
      <c r="C560" t="s">
        <v>3326</v>
      </c>
      <c r="D560">
        <v>-1634</v>
      </c>
      <c r="F560">
        <v>37.39</v>
      </c>
      <c r="G560" t="s">
        <v>3326</v>
      </c>
      <c r="P560">
        <v>522</v>
      </c>
      <c r="Q560" t="s">
        <v>3456</v>
      </c>
      <c r="R560" t="s">
        <v>3327</v>
      </c>
      <c r="S560">
        <v>-202</v>
      </c>
      <c r="T560">
        <v>16.36</v>
      </c>
      <c r="U560" t="s">
        <v>3327</v>
      </c>
      <c r="W560">
        <v>522</v>
      </c>
      <c r="X560" t="s">
        <v>3436</v>
      </c>
      <c r="Y560" t="s">
        <v>3326</v>
      </c>
      <c r="Z560">
        <v>-1634</v>
      </c>
      <c r="AA560">
        <v>37.39</v>
      </c>
      <c r="AB560" t="s">
        <v>3326</v>
      </c>
    </row>
    <row r="561" spans="1:28">
      <c r="A561">
        <v>523</v>
      </c>
      <c r="B561" t="s">
        <v>3436</v>
      </c>
      <c r="C561" t="s">
        <v>3326</v>
      </c>
      <c r="D561">
        <v>-1635</v>
      </c>
      <c r="F561">
        <v>37.39</v>
      </c>
      <c r="G561" t="s">
        <v>3326</v>
      </c>
      <c r="P561">
        <v>523</v>
      </c>
      <c r="Q561" t="s">
        <v>3456</v>
      </c>
      <c r="R561" t="s">
        <v>3327</v>
      </c>
      <c r="S561">
        <v>-203</v>
      </c>
      <c r="T561">
        <v>12.41</v>
      </c>
      <c r="U561" t="s">
        <v>3327</v>
      </c>
      <c r="W561">
        <v>523</v>
      </c>
      <c r="X561" t="s">
        <v>3436</v>
      </c>
      <c r="Y561" t="s">
        <v>3326</v>
      </c>
      <c r="Z561">
        <v>-1635</v>
      </c>
      <c r="AA561">
        <v>37.39</v>
      </c>
      <c r="AB561" t="s">
        <v>3326</v>
      </c>
    </row>
    <row r="562" spans="1:28">
      <c r="A562">
        <v>524</v>
      </c>
      <c r="B562" t="s">
        <v>3436</v>
      </c>
      <c r="C562" t="s">
        <v>3326</v>
      </c>
      <c r="D562">
        <v>-1636</v>
      </c>
      <c r="F562">
        <v>37.39</v>
      </c>
      <c r="G562" t="s">
        <v>3326</v>
      </c>
      <c r="P562">
        <v>524</v>
      </c>
      <c r="Q562" t="s">
        <v>3456</v>
      </c>
      <c r="R562" t="s">
        <v>3327</v>
      </c>
      <c r="S562">
        <v>-204</v>
      </c>
      <c r="T562">
        <v>17.04</v>
      </c>
      <c r="U562" t="s">
        <v>3327</v>
      </c>
      <c r="W562">
        <v>524</v>
      </c>
      <c r="X562" t="s">
        <v>3436</v>
      </c>
      <c r="Y562" t="s">
        <v>3326</v>
      </c>
      <c r="Z562">
        <v>-1636</v>
      </c>
      <c r="AA562">
        <v>37.39</v>
      </c>
      <c r="AB562" t="s">
        <v>3326</v>
      </c>
    </row>
    <row r="563" spans="1:28">
      <c r="A563">
        <v>525</v>
      </c>
      <c r="B563" t="s">
        <v>3436</v>
      </c>
      <c r="C563" t="s">
        <v>3326</v>
      </c>
      <c r="D563">
        <v>-1637</v>
      </c>
      <c r="F563">
        <v>37.39</v>
      </c>
      <c r="G563" t="s">
        <v>3326</v>
      </c>
      <c r="P563">
        <v>525</v>
      </c>
      <c r="Q563" t="s">
        <v>3457</v>
      </c>
      <c r="R563" t="s">
        <v>3327</v>
      </c>
      <c r="S563">
        <v>-101</v>
      </c>
      <c r="T563">
        <v>27.29</v>
      </c>
      <c r="U563" t="s">
        <v>3327</v>
      </c>
      <c r="W563">
        <v>525</v>
      </c>
      <c r="X563" t="s">
        <v>3436</v>
      </c>
      <c r="Y563" t="s">
        <v>3326</v>
      </c>
      <c r="Z563">
        <v>-1637</v>
      </c>
      <c r="AA563">
        <v>37.39</v>
      </c>
      <c r="AB563" t="s">
        <v>3326</v>
      </c>
    </row>
    <row r="564" spans="1:28">
      <c r="A564">
        <v>526</v>
      </c>
      <c r="B564" t="s">
        <v>3436</v>
      </c>
      <c r="C564" t="s">
        <v>3326</v>
      </c>
      <c r="D564">
        <v>-1638</v>
      </c>
      <c r="F564">
        <v>37.39</v>
      </c>
      <c r="G564" t="s">
        <v>3326</v>
      </c>
      <c r="P564">
        <v>526</v>
      </c>
      <c r="Q564" t="s">
        <v>3457</v>
      </c>
      <c r="R564" t="s">
        <v>3327</v>
      </c>
      <c r="S564">
        <v>-102</v>
      </c>
      <c r="T564">
        <v>22.38</v>
      </c>
      <c r="U564" t="s">
        <v>3327</v>
      </c>
      <c r="W564">
        <v>526</v>
      </c>
      <c r="X564" t="s">
        <v>3436</v>
      </c>
      <c r="Y564" t="s">
        <v>3326</v>
      </c>
      <c r="Z564">
        <v>-1638</v>
      </c>
      <c r="AA564">
        <v>37.39</v>
      </c>
      <c r="AB564" t="s">
        <v>3326</v>
      </c>
    </row>
    <row r="565" spans="1:28">
      <c r="A565">
        <v>527</v>
      </c>
      <c r="B565" t="s">
        <v>3436</v>
      </c>
      <c r="C565" t="s">
        <v>3326</v>
      </c>
      <c r="D565">
        <v>-1640</v>
      </c>
      <c r="F565">
        <v>37.39</v>
      </c>
      <c r="G565" t="s">
        <v>3326</v>
      </c>
      <c r="P565">
        <v>527</v>
      </c>
      <c r="Q565" t="s">
        <v>3457</v>
      </c>
      <c r="R565" t="s">
        <v>3327</v>
      </c>
      <c r="S565">
        <v>-103</v>
      </c>
      <c r="T565">
        <v>47.06</v>
      </c>
      <c r="U565" t="s">
        <v>3327</v>
      </c>
      <c r="W565">
        <v>527</v>
      </c>
      <c r="X565" t="s">
        <v>3436</v>
      </c>
      <c r="Y565" t="s">
        <v>3326</v>
      </c>
      <c r="Z565">
        <v>-1640</v>
      </c>
      <c r="AA565">
        <v>37.39</v>
      </c>
      <c r="AB565" t="s">
        <v>3326</v>
      </c>
    </row>
    <row r="566" spans="1:28">
      <c r="A566">
        <v>528</v>
      </c>
      <c r="B566" t="s">
        <v>3436</v>
      </c>
      <c r="C566" t="s">
        <v>3326</v>
      </c>
      <c r="D566">
        <v>-1641</v>
      </c>
      <c r="F566">
        <v>37.39</v>
      </c>
      <c r="G566" t="s">
        <v>3326</v>
      </c>
      <c r="P566">
        <v>528</v>
      </c>
      <c r="Q566" t="s">
        <v>3457</v>
      </c>
      <c r="R566" t="s">
        <v>3327</v>
      </c>
      <c r="S566">
        <v>-104</v>
      </c>
      <c r="T566">
        <v>48.7</v>
      </c>
      <c r="U566" t="s">
        <v>3327</v>
      </c>
      <c r="W566">
        <v>528</v>
      </c>
      <c r="X566" t="s">
        <v>3436</v>
      </c>
      <c r="Y566" t="s">
        <v>3326</v>
      </c>
      <c r="Z566">
        <v>-1641</v>
      </c>
      <c r="AA566">
        <v>37.39</v>
      </c>
      <c r="AB566" t="s">
        <v>3326</v>
      </c>
    </row>
    <row r="567" spans="1:28">
      <c r="A567">
        <v>529</v>
      </c>
      <c r="B567" t="s">
        <v>3436</v>
      </c>
      <c r="C567" t="s">
        <v>3326</v>
      </c>
      <c r="D567">
        <v>-1644</v>
      </c>
      <c r="F567">
        <v>37.39</v>
      </c>
      <c r="G567" t="s">
        <v>3326</v>
      </c>
      <c r="P567">
        <v>529</v>
      </c>
      <c r="Q567" t="s">
        <v>3457</v>
      </c>
      <c r="R567" t="s">
        <v>3327</v>
      </c>
      <c r="S567">
        <v>-105</v>
      </c>
      <c r="T567">
        <v>23.2</v>
      </c>
      <c r="U567" t="s">
        <v>3327</v>
      </c>
      <c r="W567">
        <v>529</v>
      </c>
      <c r="X567" t="s">
        <v>3436</v>
      </c>
      <c r="Y567" t="s">
        <v>3326</v>
      </c>
      <c r="Z567">
        <v>-1644</v>
      </c>
      <c r="AA567">
        <v>37.39</v>
      </c>
      <c r="AB567" t="s">
        <v>3326</v>
      </c>
    </row>
    <row r="568" spans="1:28">
      <c r="A568">
        <v>530</v>
      </c>
      <c r="B568" t="s">
        <v>3436</v>
      </c>
      <c r="C568" t="s">
        <v>3326</v>
      </c>
      <c r="D568">
        <v>-1646</v>
      </c>
      <c r="F568">
        <v>37.39</v>
      </c>
      <c r="G568" t="s">
        <v>3326</v>
      </c>
      <c r="P568">
        <v>530</v>
      </c>
      <c r="Q568" t="s">
        <v>3457</v>
      </c>
      <c r="R568" t="s">
        <v>3327</v>
      </c>
      <c r="S568">
        <v>-106</v>
      </c>
      <c r="T568">
        <v>23.2</v>
      </c>
      <c r="U568" t="s">
        <v>3327</v>
      </c>
      <c r="W568">
        <v>530</v>
      </c>
      <c r="X568" t="s">
        <v>3436</v>
      </c>
      <c r="Y568" t="s">
        <v>3326</v>
      </c>
      <c r="Z568">
        <v>-1646</v>
      </c>
      <c r="AA568">
        <v>37.39</v>
      </c>
      <c r="AB568" t="s">
        <v>3326</v>
      </c>
    </row>
    <row r="569" spans="1:28">
      <c r="A569">
        <v>531</v>
      </c>
      <c r="B569" t="s">
        <v>3436</v>
      </c>
      <c r="C569" t="s">
        <v>3326</v>
      </c>
      <c r="D569">
        <v>-1647</v>
      </c>
      <c r="F569">
        <v>37.39</v>
      </c>
      <c r="G569" t="s">
        <v>3326</v>
      </c>
      <c r="P569">
        <v>531</v>
      </c>
      <c r="Q569" t="s">
        <v>3457</v>
      </c>
      <c r="R569" t="s">
        <v>3327</v>
      </c>
      <c r="S569">
        <v>-107</v>
      </c>
      <c r="T569">
        <v>48.7</v>
      </c>
      <c r="U569" t="s">
        <v>3327</v>
      </c>
      <c r="W569">
        <v>531</v>
      </c>
      <c r="X569" t="s">
        <v>3436</v>
      </c>
      <c r="Y569" t="s">
        <v>3326</v>
      </c>
      <c r="Z569">
        <v>-1647</v>
      </c>
      <c r="AA569">
        <v>37.39</v>
      </c>
      <c r="AB569" t="s">
        <v>3326</v>
      </c>
    </row>
    <row r="570" spans="1:28">
      <c r="A570">
        <v>532</v>
      </c>
      <c r="B570" t="s">
        <v>3436</v>
      </c>
      <c r="C570" t="s">
        <v>3326</v>
      </c>
      <c r="D570">
        <v>-1648</v>
      </c>
      <c r="F570">
        <v>37.39</v>
      </c>
      <c r="G570" t="s">
        <v>3326</v>
      </c>
      <c r="P570">
        <v>532</v>
      </c>
      <c r="Q570" t="s">
        <v>3457</v>
      </c>
      <c r="R570" t="s">
        <v>3327</v>
      </c>
      <c r="S570">
        <v>-108</v>
      </c>
      <c r="T570">
        <v>47.1</v>
      </c>
      <c r="U570" t="s">
        <v>3327</v>
      </c>
      <c r="W570">
        <v>532</v>
      </c>
      <c r="X570" t="s">
        <v>3436</v>
      </c>
      <c r="Y570" t="s">
        <v>3326</v>
      </c>
      <c r="Z570">
        <v>-1648</v>
      </c>
      <c r="AA570">
        <v>37.39</v>
      </c>
      <c r="AB570" t="s">
        <v>3326</v>
      </c>
    </row>
    <row r="571" spans="1:28">
      <c r="A571">
        <v>533</v>
      </c>
      <c r="B571" t="s">
        <v>3436</v>
      </c>
      <c r="C571" t="s">
        <v>3326</v>
      </c>
      <c r="D571">
        <v>-1659</v>
      </c>
      <c r="F571">
        <v>37.39</v>
      </c>
      <c r="G571" t="s">
        <v>3326</v>
      </c>
      <c r="P571">
        <v>533</v>
      </c>
      <c r="Q571" t="s">
        <v>3457</v>
      </c>
      <c r="R571" t="s">
        <v>3327</v>
      </c>
      <c r="S571">
        <v>-109</v>
      </c>
      <c r="T571">
        <v>27.52</v>
      </c>
      <c r="U571" t="s">
        <v>3327</v>
      </c>
      <c r="W571">
        <v>533</v>
      </c>
      <c r="X571" t="s">
        <v>3436</v>
      </c>
      <c r="Y571" t="s">
        <v>3326</v>
      </c>
      <c r="Z571">
        <v>-1659</v>
      </c>
      <c r="AA571">
        <v>37.39</v>
      </c>
      <c r="AB571" t="s">
        <v>3326</v>
      </c>
    </row>
    <row r="572" spans="1:28">
      <c r="A572">
        <v>534</v>
      </c>
      <c r="B572" t="s">
        <v>3436</v>
      </c>
      <c r="C572" t="s">
        <v>3326</v>
      </c>
      <c r="D572">
        <v>-1660</v>
      </c>
      <c r="F572">
        <v>35.9</v>
      </c>
      <c r="G572" t="s">
        <v>3326</v>
      </c>
      <c r="P572">
        <v>534</v>
      </c>
      <c r="Q572" t="s">
        <v>3457</v>
      </c>
      <c r="R572" t="s">
        <v>3327</v>
      </c>
      <c r="S572">
        <v>-110</v>
      </c>
      <c r="T572">
        <v>15.25</v>
      </c>
      <c r="U572" t="s">
        <v>3327</v>
      </c>
      <c r="W572">
        <v>534</v>
      </c>
      <c r="X572" t="s">
        <v>3436</v>
      </c>
      <c r="Y572" t="s">
        <v>3326</v>
      </c>
      <c r="Z572">
        <v>-1660</v>
      </c>
      <c r="AA572">
        <v>35.9</v>
      </c>
      <c r="AB572" t="s">
        <v>3326</v>
      </c>
    </row>
    <row r="573" spans="1:28">
      <c r="A573">
        <v>535</v>
      </c>
      <c r="B573" t="s">
        <v>3436</v>
      </c>
      <c r="C573" t="s">
        <v>3326</v>
      </c>
      <c r="D573">
        <v>-1661</v>
      </c>
      <c r="F573">
        <v>37.39</v>
      </c>
      <c r="G573" t="s">
        <v>3326</v>
      </c>
      <c r="P573">
        <v>535</v>
      </c>
      <c r="Q573" t="s">
        <v>3457</v>
      </c>
      <c r="R573" t="s">
        <v>3327</v>
      </c>
      <c r="S573">
        <v>-201</v>
      </c>
      <c r="T573">
        <v>16.940000000000001</v>
      </c>
      <c r="U573" t="s">
        <v>3327</v>
      </c>
      <c r="W573">
        <v>535</v>
      </c>
      <c r="X573" t="s">
        <v>3436</v>
      </c>
      <c r="Y573" t="s">
        <v>3326</v>
      </c>
      <c r="Z573">
        <v>-1661</v>
      </c>
      <c r="AA573">
        <v>37.39</v>
      </c>
      <c r="AB573" t="s">
        <v>3326</v>
      </c>
    </row>
    <row r="574" spans="1:28">
      <c r="A574">
        <v>536</v>
      </c>
      <c r="B574" t="s">
        <v>3436</v>
      </c>
      <c r="C574" t="s">
        <v>3326</v>
      </c>
      <c r="D574">
        <v>-1662</v>
      </c>
      <c r="F574">
        <v>37.39</v>
      </c>
      <c r="G574" t="s">
        <v>3326</v>
      </c>
      <c r="P574">
        <v>536</v>
      </c>
      <c r="Q574" t="s">
        <v>3457</v>
      </c>
      <c r="R574" t="s">
        <v>3327</v>
      </c>
      <c r="S574">
        <v>-202</v>
      </c>
      <c r="T574">
        <v>26.37</v>
      </c>
      <c r="U574" t="s">
        <v>3327</v>
      </c>
      <c r="W574">
        <v>536</v>
      </c>
      <c r="X574" t="s">
        <v>3436</v>
      </c>
      <c r="Y574" t="s">
        <v>3326</v>
      </c>
      <c r="Z574">
        <v>-1662</v>
      </c>
      <c r="AA574">
        <v>37.39</v>
      </c>
      <c r="AB574" t="s">
        <v>3326</v>
      </c>
    </row>
    <row r="575" spans="1:28">
      <c r="A575">
        <v>537</v>
      </c>
      <c r="B575" t="s">
        <v>3436</v>
      </c>
      <c r="C575" t="s">
        <v>3326</v>
      </c>
      <c r="D575">
        <v>-1663</v>
      </c>
      <c r="F575">
        <v>37.39</v>
      </c>
      <c r="G575" t="s">
        <v>3326</v>
      </c>
      <c r="P575">
        <v>537</v>
      </c>
      <c r="Q575" t="s">
        <v>3457</v>
      </c>
      <c r="R575" t="s">
        <v>3327</v>
      </c>
      <c r="S575">
        <v>-203</v>
      </c>
      <c r="T575">
        <v>19.690000000000001</v>
      </c>
      <c r="U575" t="s">
        <v>3327</v>
      </c>
      <c r="W575">
        <v>537</v>
      </c>
      <c r="X575" t="s">
        <v>3436</v>
      </c>
      <c r="Y575" t="s">
        <v>3326</v>
      </c>
      <c r="Z575">
        <v>-1663</v>
      </c>
      <c r="AA575">
        <v>37.39</v>
      </c>
      <c r="AB575" t="s">
        <v>3326</v>
      </c>
    </row>
    <row r="576" spans="1:28">
      <c r="A576">
        <v>538</v>
      </c>
      <c r="B576" t="s">
        <v>3436</v>
      </c>
      <c r="C576" t="s">
        <v>3326</v>
      </c>
      <c r="D576">
        <v>-1664</v>
      </c>
      <c r="F576">
        <v>37.39</v>
      </c>
      <c r="G576" t="s">
        <v>3326</v>
      </c>
      <c r="P576">
        <v>538</v>
      </c>
      <c r="Q576" t="s">
        <v>3457</v>
      </c>
      <c r="R576" t="s">
        <v>3327</v>
      </c>
      <c r="S576">
        <v>-204</v>
      </c>
      <c r="T576">
        <v>19.690000000000001</v>
      </c>
      <c r="U576" t="s">
        <v>3327</v>
      </c>
      <c r="W576">
        <v>538</v>
      </c>
      <c r="X576" t="s">
        <v>3436</v>
      </c>
      <c r="Y576" t="s">
        <v>3326</v>
      </c>
      <c r="Z576">
        <v>-1664</v>
      </c>
      <c r="AA576">
        <v>37.39</v>
      </c>
      <c r="AB576" t="s">
        <v>3326</v>
      </c>
    </row>
    <row r="577" spans="1:28">
      <c r="A577">
        <v>539</v>
      </c>
      <c r="B577" t="s">
        <v>3436</v>
      </c>
      <c r="C577" t="s">
        <v>3326</v>
      </c>
      <c r="D577">
        <v>-1665</v>
      </c>
      <c r="F577">
        <v>37.39</v>
      </c>
      <c r="G577" t="s">
        <v>3326</v>
      </c>
      <c r="P577">
        <v>539</v>
      </c>
      <c r="Q577" t="s">
        <v>3457</v>
      </c>
      <c r="R577" t="s">
        <v>3327</v>
      </c>
      <c r="S577">
        <v>-205</v>
      </c>
      <c r="T577">
        <v>16.440000000000001</v>
      </c>
      <c r="U577" t="s">
        <v>3327</v>
      </c>
      <c r="W577">
        <v>539</v>
      </c>
      <c r="X577" t="s">
        <v>3436</v>
      </c>
      <c r="Y577" t="s">
        <v>3326</v>
      </c>
      <c r="Z577">
        <v>-1665</v>
      </c>
      <c r="AA577">
        <v>37.39</v>
      </c>
      <c r="AB577" t="s">
        <v>3326</v>
      </c>
    </row>
    <row r="578" spans="1:28">
      <c r="A578">
        <v>540</v>
      </c>
      <c r="B578" t="s">
        <v>3436</v>
      </c>
      <c r="C578" t="s">
        <v>3326</v>
      </c>
      <c r="D578">
        <v>-1666</v>
      </c>
      <c r="F578">
        <v>37.39</v>
      </c>
      <c r="G578" t="s">
        <v>3326</v>
      </c>
      <c r="P578">
        <v>540</v>
      </c>
      <c r="Q578" t="s">
        <v>3458</v>
      </c>
      <c r="R578" t="s">
        <v>3327</v>
      </c>
      <c r="S578">
        <v>-101</v>
      </c>
      <c r="T578">
        <v>30.13</v>
      </c>
      <c r="U578" t="s">
        <v>3327</v>
      </c>
      <c r="W578">
        <v>540</v>
      </c>
      <c r="X578" t="s">
        <v>3436</v>
      </c>
      <c r="Y578" t="s">
        <v>3326</v>
      </c>
      <c r="Z578">
        <v>-1666</v>
      </c>
      <c r="AA578">
        <v>37.39</v>
      </c>
      <c r="AB578" t="s">
        <v>3326</v>
      </c>
    </row>
    <row r="579" spans="1:28">
      <c r="A579">
        <v>541</v>
      </c>
      <c r="B579" t="s">
        <v>3436</v>
      </c>
      <c r="C579" t="s">
        <v>3326</v>
      </c>
      <c r="D579">
        <v>-1667</v>
      </c>
      <c r="F579">
        <v>37.39</v>
      </c>
      <c r="G579" t="s">
        <v>3326</v>
      </c>
      <c r="P579">
        <v>541</v>
      </c>
      <c r="Q579" t="s">
        <v>3458</v>
      </c>
      <c r="R579" t="s">
        <v>3327</v>
      </c>
      <c r="S579">
        <v>-102</v>
      </c>
      <c r="T579">
        <v>28.44</v>
      </c>
      <c r="U579" t="s">
        <v>3327</v>
      </c>
      <c r="W579">
        <v>541</v>
      </c>
      <c r="X579" t="s">
        <v>3436</v>
      </c>
      <c r="Y579" t="s">
        <v>3326</v>
      </c>
      <c r="Z579">
        <v>-1667</v>
      </c>
      <c r="AA579">
        <v>37.39</v>
      </c>
      <c r="AB579" t="s">
        <v>3326</v>
      </c>
    </row>
    <row r="580" spans="1:28">
      <c r="A580">
        <v>542</v>
      </c>
      <c r="B580" t="s">
        <v>3436</v>
      </c>
      <c r="C580" t="s">
        <v>3326</v>
      </c>
      <c r="D580">
        <v>-1668</v>
      </c>
      <c r="F580">
        <v>37.39</v>
      </c>
      <c r="G580" t="s">
        <v>3326</v>
      </c>
      <c r="P580">
        <v>542</v>
      </c>
      <c r="Q580" t="s">
        <v>3458</v>
      </c>
      <c r="R580" t="s">
        <v>3327</v>
      </c>
      <c r="S580">
        <v>-106</v>
      </c>
      <c r="T580">
        <v>23.11</v>
      </c>
      <c r="U580" t="s">
        <v>3327</v>
      </c>
      <c r="W580">
        <v>542</v>
      </c>
      <c r="X580" t="s">
        <v>3436</v>
      </c>
      <c r="Y580" t="s">
        <v>3326</v>
      </c>
      <c r="Z580">
        <v>-1668</v>
      </c>
      <c r="AA580">
        <v>37.39</v>
      </c>
      <c r="AB580" t="s">
        <v>3326</v>
      </c>
    </row>
    <row r="581" spans="1:28">
      <c r="A581">
        <v>543</v>
      </c>
      <c r="B581" t="s">
        <v>3436</v>
      </c>
      <c r="C581" t="s">
        <v>3326</v>
      </c>
      <c r="D581">
        <v>-1669</v>
      </c>
      <c r="F581">
        <v>35.9</v>
      </c>
      <c r="G581" t="s">
        <v>3326</v>
      </c>
      <c r="P581">
        <v>543</v>
      </c>
      <c r="Q581" t="s">
        <v>3458</v>
      </c>
      <c r="R581" t="s">
        <v>3327</v>
      </c>
      <c r="S581">
        <v>-107</v>
      </c>
      <c r="T581">
        <v>52.52</v>
      </c>
      <c r="U581" t="s">
        <v>3327</v>
      </c>
      <c r="W581">
        <v>543</v>
      </c>
      <c r="X581" t="s">
        <v>3436</v>
      </c>
      <c r="Y581" t="s">
        <v>3326</v>
      </c>
      <c r="Z581">
        <v>-1669</v>
      </c>
      <c r="AA581">
        <v>35.9</v>
      </c>
      <c r="AB581" t="s">
        <v>3326</v>
      </c>
    </row>
    <row r="582" spans="1:28">
      <c r="A582">
        <v>544</v>
      </c>
      <c r="B582" t="s">
        <v>3436</v>
      </c>
      <c r="C582" t="s">
        <v>3326</v>
      </c>
      <c r="D582">
        <v>-1671</v>
      </c>
      <c r="F582">
        <v>37.39</v>
      </c>
      <c r="G582" t="s">
        <v>3326</v>
      </c>
      <c r="P582">
        <v>544</v>
      </c>
      <c r="Q582" t="s">
        <v>3458</v>
      </c>
      <c r="R582" t="s">
        <v>3327</v>
      </c>
      <c r="S582">
        <v>-108</v>
      </c>
      <c r="T582">
        <v>45.47</v>
      </c>
      <c r="U582" t="s">
        <v>3327</v>
      </c>
      <c r="W582">
        <v>544</v>
      </c>
      <c r="X582" t="s">
        <v>3436</v>
      </c>
      <c r="Y582" t="s">
        <v>3326</v>
      </c>
      <c r="Z582">
        <v>-1671</v>
      </c>
      <c r="AA582">
        <v>37.39</v>
      </c>
      <c r="AB582" t="s">
        <v>3326</v>
      </c>
    </row>
    <row r="583" spans="1:28">
      <c r="A583">
        <v>545</v>
      </c>
      <c r="B583" t="s">
        <v>3436</v>
      </c>
      <c r="C583" t="s">
        <v>3326</v>
      </c>
      <c r="D583">
        <v>-1672</v>
      </c>
      <c r="F583">
        <v>37.39</v>
      </c>
      <c r="G583" t="s">
        <v>3326</v>
      </c>
      <c r="P583">
        <v>545</v>
      </c>
      <c r="Q583" t="s">
        <v>3458</v>
      </c>
      <c r="R583" t="s">
        <v>3327</v>
      </c>
      <c r="S583">
        <v>-109</v>
      </c>
      <c r="T583">
        <v>15.71</v>
      </c>
      <c r="U583" t="s">
        <v>3327</v>
      </c>
      <c r="W583">
        <v>545</v>
      </c>
      <c r="X583" t="s">
        <v>3436</v>
      </c>
      <c r="Y583" t="s">
        <v>3326</v>
      </c>
      <c r="Z583">
        <v>-1672</v>
      </c>
      <c r="AA583">
        <v>37.39</v>
      </c>
      <c r="AB583" t="s">
        <v>3326</v>
      </c>
    </row>
    <row r="584" spans="1:28">
      <c r="A584">
        <v>546</v>
      </c>
      <c r="B584" t="s">
        <v>3436</v>
      </c>
      <c r="C584" t="s">
        <v>3326</v>
      </c>
      <c r="D584">
        <v>-1673</v>
      </c>
      <c r="F584">
        <v>37.39</v>
      </c>
      <c r="G584" t="s">
        <v>3326</v>
      </c>
      <c r="P584">
        <v>546</v>
      </c>
      <c r="Q584" t="s">
        <v>3458</v>
      </c>
      <c r="R584" t="s">
        <v>3327</v>
      </c>
      <c r="S584">
        <v>-110</v>
      </c>
      <c r="T584">
        <v>30.31</v>
      </c>
      <c r="U584" t="s">
        <v>3327</v>
      </c>
      <c r="W584">
        <v>546</v>
      </c>
      <c r="X584" t="s">
        <v>3436</v>
      </c>
      <c r="Y584" t="s">
        <v>3326</v>
      </c>
      <c r="Z584">
        <v>-1673</v>
      </c>
      <c r="AA584">
        <v>37.39</v>
      </c>
      <c r="AB584" t="s">
        <v>3326</v>
      </c>
    </row>
    <row r="585" spans="1:28">
      <c r="A585">
        <v>547</v>
      </c>
      <c r="B585" t="s">
        <v>3436</v>
      </c>
      <c r="C585" t="s">
        <v>3326</v>
      </c>
      <c r="D585">
        <v>-1674</v>
      </c>
      <c r="F585">
        <v>37.39</v>
      </c>
      <c r="G585" t="s">
        <v>3326</v>
      </c>
      <c r="P585">
        <v>547</v>
      </c>
      <c r="Q585" t="s">
        <v>3458</v>
      </c>
      <c r="R585" t="s">
        <v>3327</v>
      </c>
      <c r="S585">
        <v>-201</v>
      </c>
      <c r="T585">
        <v>15.67</v>
      </c>
      <c r="U585" t="s">
        <v>3327</v>
      </c>
      <c r="W585">
        <v>547</v>
      </c>
      <c r="X585" t="s">
        <v>3436</v>
      </c>
      <c r="Y585" t="s">
        <v>3326</v>
      </c>
      <c r="Z585">
        <v>-1674</v>
      </c>
      <c r="AA585">
        <v>37.39</v>
      </c>
      <c r="AB585" t="s">
        <v>3326</v>
      </c>
    </row>
    <row r="586" spans="1:28">
      <c r="A586">
        <v>548</v>
      </c>
      <c r="B586" t="s">
        <v>3436</v>
      </c>
      <c r="C586" t="s">
        <v>3326</v>
      </c>
      <c r="D586">
        <v>-1675</v>
      </c>
      <c r="F586">
        <v>37.39</v>
      </c>
      <c r="G586" t="s">
        <v>3326</v>
      </c>
      <c r="P586">
        <v>548</v>
      </c>
      <c r="Q586" t="s">
        <v>3458</v>
      </c>
      <c r="R586" t="s">
        <v>3327</v>
      </c>
      <c r="S586">
        <v>-203</v>
      </c>
      <c r="T586">
        <v>20.13</v>
      </c>
      <c r="U586" t="s">
        <v>3327</v>
      </c>
      <c r="W586">
        <v>548</v>
      </c>
      <c r="X586" t="s">
        <v>3436</v>
      </c>
      <c r="Y586" t="s">
        <v>3326</v>
      </c>
      <c r="Z586">
        <v>-1675</v>
      </c>
      <c r="AA586">
        <v>37.39</v>
      </c>
      <c r="AB586" t="s">
        <v>3326</v>
      </c>
    </row>
    <row r="587" spans="1:28">
      <c r="A587">
        <v>549</v>
      </c>
      <c r="B587" t="s">
        <v>3436</v>
      </c>
      <c r="C587" t="s">
        <v>3326</v>
      </c>
      <c r="D587">
        <v>-1676</v>
      </c>
      <c r="F587">
        <v>37.39</v>
      </c>
      <c r="G587" t="s">
        <v>3326</v>
      </c>
      <c r="P587">
        <v>549</v>
      </c>
      <c r="Q587" t="s">
        <v>3459</v>
      </c>
      <c r="R587" t="s">
        <v>3327</v>
      </c>
      <c r="S587">
        <v>-101</v>
      </c>
      <c r="T587">
        <v>30.96</v>
      </c>
      <c r="U587" t="s">
        <v>3327</v>
      </c>
      <c r="W587">
        <v>549</v>
      </c>
      <c r="X587" t="s">
        <v>3436</v>
      </c>
      <c r="Y587" t="s">
        <v>3326</v>
      </c>
      <c r="Z587">
        <v>-1676</v>
      </c>
      <c r="AA587">
        <v>37.39</v>
      </c>
      <c r="AB587" t="s">
        <v>3326</v>
      </c>
    </row>
    <row r="588" spans="1:28">
      <c r="A588">
        <v>550</v>
      </c>
      <c r="B588" t="s">
        <v>3436</v>
      </c>
      <c r="C588" t="s">
        <v>3326</v>
      </c>
      <c r="D588">
        <v>-1677</v>
      </c>
      <c r="F588">
        <v>37.39</v>
      </c>
      <c r="G588" t="s">
        <v>3326</v>
      </c>
      <c r="P588">
        <v>550</v>
      </c>
      <c r="Q588" t="s">
        <v>3459</v>
      </c>
      <c r="R588" t="s">
        <v>3327</v>
      </c>
      <c r="S588">
        <v>-102</v>
      </c>
      <c r="T588">
        <v>16.260000000000002</v>
      </c>
      <c r="U588" t="s">
        <v>3327</v>
      </c>
      <c r="W588">
        <v>550</v>
      </c>
      <c r="X588" t="s">
        <v>3436</v>
      </c>
      <c r="Y588" t="s">
        <v>3326</v>
      </c>
      <c r="Z588">
        <v>-1677</v>
      </c>
      <c r="AA588">
        <v>37.39</v>
      </c>
      <c r="AB588" t="s">
        <v>3326</v>
      </c>
    </row>
    <row r="589" spans="1:28">
      <c r="A589">
        <v>551</v>
      </c>
      <c r="B589" t="s">
        <v>3436</v>
      </c>
      <c r="C589" t="s">
        <v>3326</v>
      </c>
      <c r="D589">
        <v>-1678</v>
      </c>
      <c r="F589">
        <v>37.39</v>
      </c>
      <c r="G589" t="s">
        <v>3326</v>
      </c>
      <c r="P589">
        <v>551</v>
      </c>
      <c r="Q589" t="s">
        <v>3459</v>
      </c>
      <c r="R589" t="s">
        <v>3327</v>
      </c>
      <c r="S589">
        <v>-103</v>
      </c>
      <c r="T589">
        <v>46.44</v>
      </c>
      <c r="U589" t="s">
        <v>3327</v>
      </c>
      <c r="W589">
        <v>551</v>
      </c>
      <c r="X589" t="s">
        <v>3436</v>
      </c>
      <c r="Y589" t="s">
        <v>3326</v>
      </c>
      <c r="Z589">
        <v>-1678</v>
      </c>
      <c r="AA589">
        <v>37.39</v>
      </c>
      <c r="AB589" t="s">
        <v>3326</v>
      </c>
    </row>
    <row r="590" spans="1:28">
      <c r="A590">
        <v>552</v>
      </c>
      <c r="B590" t="s">
        <v>3436</v>
      </c>
      <c r="C590" t="s">
        <v>3326</v>
      </c>
      <c r="D590">
        <v>-1680</v>
      </c>
      <c r="F590">
        <v>37.39</v>
      </c>
      <c r="G590" t="s">
        <v>3326</v>
      </c>
      <c r="P590">
        <v>552</v>
      </c>
      <c r="Q590" t="s">
        <v>3459</v>
      </c>
      <c r="R590" t="s">
        <v>3327</v>
      </c>
      <c r="S590">
        <v>-104</v>
      </c>
      <c r="T590">
        <v>53.65</v>
      </c>
      <c r="U590" t="s">
        <v>3327</v>
      </c>
      <c r="W590">
        <v>552</v>
      </c>
      <c r="X590" t="s">
        <v>3436</v>
      </c>
      <c r="Y590" t="s">
        <v>3326</v>
      </c>
      <c r="Z590">
        <v>-1680</v>
      </c>
      <c r="AA590">
        <v>37.39</v>
      </c>
      <c r="AB590" t="s">
        <v>3326</v>
      </c>
    </row>
    <row r="591" spans="1:28">
      <c r="A591">
        <v>553</v>
      </c>
      <c r="B591" t="s">
        <v>3436</v>
      </c>
      <c r="C591" t="s">
        <v>3326</v>
      </c>
      <c r="D591">
        <v>-1681</v>
      </c>
      <c r="F591">
        <v>37.39</v>
      </c>
      <c r="G591" t="s">
        <v>3326</v>
      </c>
      <c r="P591">
        <v>553</v>
      </c>
      <c r="Q591" t="s">
        <v>3459</v>
      </c>
      <c r="R591" t="s">
        <v>3327</v>
      </c>
      <c r="S591">
        <v>-105</v>
      </c>
      <c r="T591">
        <v>23.61</v>
      </c>
      <c r="U591" t="s">
        <v>3327</v>
      </c>
      <c r="W591">
        <v>553</v>
      </c>
      <c r="X591" t="s">
        <v>3436</v>
      </c>
      <c r="Y591" t="s">
        <v>3326</v>
      </c>
      <c r="Z591">
        <v>-1681</v>
      </c>
      <c r="AA591">
        <v>37.39</v>
      </c>
      <c r="AB591" t="s">
        <v>3326</v>
      </c>
    </row>
    <row r="592" spans="1:28">
      <c r="A592">
        <v>554</v>
      </c>
      <c r="B592" t="s">
        <v>3436</v>
      </c>
      <c r="C592" t="s">
        <v>3326</v>
      </c>
      <c r="D592">
        <v>-1682</v>
      </c>
      <c r="F592">
        <v>37.39</v>
      </c>
      <c r="G592" t="s">
        <v>3326</v>
      </c>
      <c r="P592">
        <v>554</v>
      </c>
      <c r="Q592" t="s">
        <v>3459</v>
      </c>
      <c r="R592" t="s">
        <v>3327</v>
      </c>
      <c r="S592">
        <v>-106</v>
      </c>
      <c r="T592">
        <v>23.61</v>
      </c>
      <c r="U592" t="s">
        <v>3327</v>
      </c>
      <c r="W592">
        <v>554</v>
      </c>
      <c r="X592" t="s">
        <v>3436</v>
      </c>
      <c r="Y592" t="s">
        <v>3326</v>
      </c>
      <c r="Z592">
        <v>-1682</v>
      </c>
      <c r="AA592">
        <v>37.39</v>
      </c>
      <c r="AB592" t="s">
        <v>3326</v>
      </c>
    </row>
    <row r="593" spans="1:28">
      <c r="A593">
        <v>555</v>
      </c>
      <c r="B593" t="s">
        <v>3436</v>
      </c>
      <c r="C593" t="s">
        <v>3326</v>
      </c>
      <c r="D593">
        <v>-1683</v>
      </c>
      <c r="F593">
        <v>37.39</v>
      </c>
      <c r="G593" t="s">
        <v>3326</v>
      </c>
      <c r="P593">
        <v>555</v>
      </c>
      <c r="Q593" t="s">
        <v>3459</v>
      </c>
      <c r="R593" t="s">
        <v>3327</v>
      </c>
      <c r="S593">
        <v>-107</v>
      </c>
      <c r="T593">
        <v>56.57</v>
      </c>
      <c r="U593" t="s">
        <v>3327</v>
      </c>
      <c r="W593">
        <v>555</v>
      </c>
      <c r="X593" t="s">
        <v>3436</v>
      </c>
      <c r="Y593" t="s">
        <v>3326</v>
      </c>
      <c r="Z593">
        <v>-1683</v>
      </c>
      <c r="AA593">
        <v>37.39</v>
      </c>
      <c r="AB593" t="s">
        <v>3326</v>
      </c>
    </row>
    <row r="594" spans="1:28">
      <c r="A594">
        <v>556</v>
      </c>
      <c r="B594" t="s">
        <v>3436</v>
      </c>
      <c r="C594" t="s">
        <v>3326</v>
      </c>
      <c r="D594">
        <v>-1684</v>
      </c>
      <c r="F594">
        <v>37.39</v>
      </c>
      <c r="G594" t="s">
        <v>3326</v>
      </c>
      <c r="P594">
        <v>556</v>
      </c>
      <c r="Q594" t="s">
        <v>3459</v>
      </c>
      <c r="R594" t="s">
        <v>3327</v>
      </c>
      <c r="S594">
        <v>-108</v>
      </c>
      <c r="T594">
        <v>41.37</v>
      </c>
      <c r="U594" t="s">
        <v>3327</v>
      </c>
      <c r="W594">
        <v>556</v>
      </c>
      <c r="X594" t="s">
        <v>3436</v>
      </c>
      <c r="Y594" t="s">
        <v>3326</v>
      </c>
      <c r="Z594">
        <v>-1684</v>
      </c>
      <c r="AA594">
        <v>37.39</v>
      </c>
      <c r="AB594" t="s">
        <v>3326</v>
      </c>
    </row>
    <row r="595" spans="1:28">
      <c r="A595">
        <v>557</v>
      </c>
      <c r="B595" t="s">
        <v>3436</v>
      </c>
      <c r="C595" t="s">
        <v>3326</v>
      </c>
      <c r="D595">
        <v>-1685</v>
      </c>
      <c r="F595">
        <v>37.39</v>
      </c>
      <c r="G595" t="s">
        <v>3326</v>
      </c>
      <c r="P595">
        <v>557</v>
      </c>
      <c r="Q595" t="s">
        <v>3459</v>
      </c>
      <c r="R595" t="s">
        <v>3327</v>
      </c>
      <c r="S595">
        <v>-109</v>
      </c>
      <c r="T595">
        <v>41.37</v>
      </c>
      <c r="U595" t="s">
        <v>3327</v>
      </c>
      <c r="W595">
        <v>557</v>
      </c>
      <c r="X595" t="s">
        <v>3436</v>
      </c>
      <c r="Y595" t="s">
        <v>3326</v>
      </c>
      <c r="Z595">
        <v>-1685</v>
      </c>
      <c r="AA595">
        <v>37.39</v>
      </c>
      <c r="AB595" t="s">
        <v>3326</v>
      </c>
    </row>
    <row r="596" spans="1:28">
      <c r="A596">
        <v>558</v>
      </c>
      <c r="B596" t="s">
        <v>3436</v>
      </c>
      <c r="C596" t="s">
        <v>3326</v>
      </c>
      <c r="D596">
        <v>-1686</v>
      </c>
      <c r="F596">
        <v>37.39</v>
      </c>
      <c r="G596" t="s">
        <v>3326</v>
      </c>
      <c r="P596">
        <v>558</v>
      </c>
      <c r="Q596" t="s">
        <v>3459</v>
      </c>
      <c r="R596" t="s">
        <v>3327</v>
      </c>
      <c r="S596">
        <v>-110</v>
      </c>
      <c r="T596">
        <v>56.57</v>
      </c>
      <c r="U596" t="s">
        <v>3327</v>
      </c>
      <c r="W596">
        <v>558</v>
      </c>
      <c r="X596" t="s">
        <v>3436</v>
      </c>
      <c r="Y596" t="s">
        <v>3326</v>
      </c>
      <c r="Z596">
        <v>-1686</v>
      </c>
      <c r="AA596">
        <v>37.39</v>
      </c>
      <c r="AB596" t="s">
        <v>3326</v>
      </c>
    </row>
    <row r="597" spans="1:28">
      <c r="A597">
        <v>559</v>
      </c>
      <c r="B597" t="s">
        <v>3436</v>
      </c>
      <c r="C597" t="s">
        <v>3326</v>
      </c>
      <c r="D597">
        <v>-1687</v>
      </c>
      <c r="F597">
        <v>37.39</v>
      </c>
      <c r="G597" t="s">
        <v>3326</v>
      </c>
      <c r="P597">
        <v>559</v>
      </c>
      <c r="Q597" t="s">
        <v>3459</v>
      </c>
      <c r="R597" t="s">
        <v>3327</v>
      </c>
      <c r="S597">
        <v>-111</v>
      </c>
      <c r="T597">
        <v>23.61</v>
      </c>
      <c r="U597" t="s">
        <v>3327</v>
      </c>
      <c r="W597">
        <v>559</v>
      </c>
      <c r="X597" t="s">
        <v>3436</v>
      </c>
      <c r="Y597" t="s">
        <v>3326</v>
      </c>
      <c r="Z597">
        <v>-1687</v>
      </c>
      <c r="AA597">
        <v>37.39</v>
      </c>
      <c r="AB597" t="s">
        <v>3326</v>
      </c>
    </row>
    <row r="598" spans="1:28">
      <c r="A598">
        <v>560</v>
      </c>
      <c r="B598" t="s">
        <v>3436</v>
      </c>
      <c r="C598" t="s">
        <v>3326</v>
      </c>
      <c r="D598">
        <v>-1688</v>
      </c>
      <c r="F598">
        <v>37.39</v>
      </c>
      <c r="G598" t="s">
        <v>3326</v>
      </c>
      <c r="P598">
        <v>560</v>
      </c>
      <c r="Q598" t="s">
        <v>3459</v>
      </c>
      <c r="R598" t="s">
        <v>3327</v>
      </c>
      <c r="S598">
        <v>-112</v>
      </c>
      <c r="T598">
        <v>23.61</v>
      </c>
      <c r="U598" t="s">
        <v>3327</v>
      </c>
      <c r="W598">
        <v>560</v>
      </c>
      <c r="X598" t="s">
        <v>3436</v>
      </c>
      <c r="Y598" t="s">
        <v>3326</v>
      </c>
      <c r="Z598">
        <v>-1688</v>
      </c>
      <c r="AA598">
        <v>37.39</v>
      </c>
      <c r="AB598" t="s">
        <v>3326</v>
      </c>
    </row>
    <row r="599" spans="1:28">
      <c r="A599">
        <v>561</v>
      </c>
      <c r="B599" t="s">
        <v>3436</v>
      </c>
      <c r="C599" t="s">
        <v>3326</v>
      </c>
      <c r="D599">
        <v>-1689</v>
      </c>
      <c r="F599">
        <v>37.39</v>
      </c>
      <c r="G599" t="s">
        <v>3326</v>
      </c>
      <c r="P599">
        <v>561</v>
      </c>
      <c r="Q599" t="s">
        <v>3459</v>
      </c>
      <c r="R599" t="s">
        <v>3327</v>
      </c>
      <c r="S599">
        <v>-113</v>
      </c>
      <c r="T599">
        <v>56.57</v>
      </c>
      <c r="U599" t="s">
        <v>3327</v>
      </c>
      <c r="W599">
        <v>561</v>
      </c>
      <c r="X599" t="s">
        <v>3436</v>
      </c>
      <c r="Y599" t="s">
        <v>3326</v>
      </c>
      <c r="Z599">
        <v>-1689</v>
      </c>
      <c r="AA599">
        <v>37.39</v>
      </c>
      <c r="AB599" t="s">
        <v>3326</v>
      </c>
    </row>
    <row r="600" spans="1:28">
      <c r="A600">
        <v>562</v>
      </c>
      <c r="B600" t="s">
        <v>3436</v>
      </c>
      <c r="C600" t="s">
        <v>3326</v>
      </c>
      <c r="D600">
        <v>-1690</v>
      </c>
      <c r="F600">
        <v>37.39</v>
      </c>
      <c r="G600" t="s">
        <v>3326</v>
      </c>
      <c r="P600">
        <v>562</v>
      </c>
      <c r="Q600" t="s">
        <v>3459</v>
      </c>
      <c r="R600" t="s">
        <v>3327</v>
      </c>
      <c r="S600">
        <v>-114</v>
      </c>
      <c r="T600">
        <v>41.06</v>
      </c>
      <c r="U600" t="s">
        <v>3327</v>
      </c>
      <c r="W600">
        <v>562</v>
      </c>
      <c r="X600" t="s">
        <v>3436</v>
      </c>
      <c r="Y600" t="s">
        <v>3326</v>
      </c>
      <c r="Z600">
        <v>-1690</v>
      </c>
      <c r="AA600">
        <v>37.39</v>
      </c>
      <c r="AB600" t="s">
        <v>3326</v>
      </c>
    </row>
    <row r="601" spans="1:28">
      <c r="A601">
        <v>563</v>
      </c>
      <c r="B601" t="s">
        <v>3436</v>
      </c>
      <c r="C601" t="s">
        <v>3326</v>
      </c>
      <c r="D601">
        <v>-1691</v>
      </c>
      <c r="F601">
        <v>37.39</v>
      </c>
      <c r="G601" t="s">
        <v>3326</v>
      </c>
      <c r="P601">
        <v>563</v>
      </c>
      <c r="Q601" t="s">
        <v>3459</v>
      </c>
      <c r="R601" t="s">
        <v>3327</v>
      </c>
      <c r="S601">
        <v>-115</v>
      </c>
      <c r="T601">
        <v>41.06</v>
      </c>
      <c r="U601" t="s">
        <v>3327</v>
      </c>
      <c r="W601">
        <v>563</v>
      </c>
      <c r="X601" t="s">
        <v>3436</v>
      </c>
      <c r="Y601" t="s">
        <v>3326</v>
      </c>
      <c r="Z601">
        <v>-1691</v>
      </c>
      <c r="AA601">
        <v>37.39</v>
      </c>
      <c r="AB601" t="s">
        <v>3326</v>
      </c>
    </row>
    <row r="602" spans="1:28">
      <c r="A602">
        <v>564</v>
      </c>
      <c r="B602" t="s">
        <v>3436</v>
      </c>
      <c r="C602" t="s">
        <v>3326</v>
      </c>
      <c r="D602">
        <v>-1692</v>
      </c>
      <c r="F602">
        <v>37.39</v>
      </c>
      <c r="G602" t="s">
        <v>3326</v>
      </c>
      <c r="P602">
        <v>564</v>
      </c>
      <c r="Q602" t="s">
        <v>3459</v>
      </c>
      <c r="R602" t="s">
        <v>3327</v>
      </c>
      <c r="S602">
        <v>-116</v>
      </c>
      <c r="T602">
        <v>56.57</v>
      </c>
      <c r="U602" t="s">
        <v>3327</v>
      </c>
      <c r="W602">
        <v>564</v>
      </c>
      <c r="X602" t="s">
        <v>3436</v>
      </c>
      <c r="Y602" t="s">
        <v>3326</v>
      </c>
      <c r="Z602">
        <v>-1692</v>
      </c>
      <c r="AA602">
        <v>37.39</v>
      </c>
      <c r="AB602" t="s">
        <v>3326</v>
      </c>
    </row>
    <row r="603" spans="1:28">
      <c r="A603">
        <v>565</v>
      </c>
      <c r="B603" t="s">
        <v>3436</v>
      </c>
      <c r="C603" t="s">
        <v>3326</v>
      </c>
      <c r="D603">
        <v>-1693</v>
      </c>
      <c r="F603">
        <v>37.39</v>
      </c>
      <c r="G603" t="s">
        <v>3326</v>
      </c>
      <c r="P603">
        <v>565</v>
      </c>
      <c r="Q603" t="s">
        <v>3459</v>
      </c>
      <c r="R603" t="s">
        <v>3327</v>
      </c>
      <c r="S603">
        <v>-117</v>
      </c>
      <c r="T603">
        <v>23.61</v>
      </c>
      <c r="U603" t="s">
        <v>3327</v>
      </c>
      <c r="W603">
        <v>565</v>
      </c>
      <c r="X603" t="s">
        <v>3436</v>
      </c>
      <c r="Y603" t="s">
        <v>3326</v>
      </c>
      <c r="Z603">
        <v>-1693</v>
      </c>
      <c r="AA603">
        <v>37.39</v>
      </c>
      <c r="AB603" t="s">
        <v>3326</v>
      </c>
    </row>
    <row r="604" spans="1:28">
      <c r="A604">
        <v>566</v>
      </c>
      <c r="B604" t="s">
        <v>3436</v>
      </c>
      <c r="C604" t="s">
        <v>3326</v>
      </c>
      <c r="D604">
        <v>-1694</v>
      </c>
      <c r="F604">
        <v>37.39</v>
      </c>
      <c r="G604" t="s">
        <v>3326</v>
      </c>
      <c r="P604">
        <v>566</v>
      </c>
      <c r="Q604" t="s">
        <v>3459</v>
      </c>
      <c r="R604" t="s">
        <v>3327</v>
      </c>
      <c r="S604">
        <v>-118</v>
      </c>
      <c r="T604">
        <v>23.61</v>
      </c>
      <c r="U604" t="s">
        <v>3327</v>
      </c>
      <c r="W604">
        <v>566</v>
      </c>
      <c r="X604" t="s">
        <v>3436</v>
      </c>
      <c r="Y604" t="s">
        <v>3326</v>
      </c>
      <c r="Z604">
        <v>-1694</v>
      </c>
      <c r="AA604">
        <v>37.39</v>
      </c>
      <c r="AB604" t="s">
        <v>3326</v>
      </c>
    </row>
    <row r="605" spans="1:28">
      <c r="A605">
        <v>567</v>
      </c>
      <c r="B605" t="s">
        <v>3436</v>
      </c>
      <c r="C605" t="s">
        <v>3326</v>
      </c>
      <c r="D605">
        <v>-1695</v>
      </c>
      <c r="F605">
        <v>37.39</v>
      </c>
      <c r="G605" t="s">
        <v>3326</v>
      </c>
      <c r="P605">
        <v>567</v>
      </c>
      <c r="Q605" t="s">
        <v>3459</v>
      </c>
      <c r="R605" t="s">
        <v>3327</v>
      </c>
      <c r="S605">
        <v>-119</v>
      </c>
      <c r="T605">
        <v>49.55</v>
      </c>
      <c r="U605" t="s">
        <v>3327</v>
      </c>
      <c r="W605">
        <v>567</v>
      </c>
      <c r="X605" t="s">
        <v>3436</v>
      </c>
      <c r="Y605" t="s">
        <v>3326</v>
      </c>
      <c r="Z605">
        <v>-1695</v>
      </c>
      <c r="AA605">
        <v>37.39</v>
      </c>
      <c r="AB605" t="s">
        <v>3326</v>
      </c>
    </row>
    <row r="606" spans="1:28">
      <c r="A606">
        <v>568</v>
      </c>
      <c r="B606" t="s">
        <v>3436</v>
      </c>
      <c r="C606" t="s">
        <v>3326</v>
      </c>
      <c r="D606">
        <v>-1696</v>
      </c>
      <c r="F606">
        <v>37.39</v>
      </c>
      <c r="G606" t="s">
        <v>3326</v>
      </c>
      <c r="P606">
        <v>568</v>
      </c>
      <c r="Q606" t="s">
        <v>3459</v>
      </c>
      <c r="R606" t="s">
        <v>3327</v>
      </c>
      <c r="S606">
        <v>-120</v>
      </c>
      <c r="T606">
        <v>47.92</v>
      </c>
      <c r="U606" t="s">
        <v>3327</v>
      </c>
      <c r="W606">
        <v>568</v>
      </c>
      <c r="X606" t="s">
        <v>3436</v>
      </c>
      <c r="Y606" t="s">
        <v>3326</v>
      </c>
      <c r="Z606">
        <v>-1696</v>
      </c>
      <c r="AA606">
        <v>37.39</v>
      </c>
      <c r="AB606" t="s">
        <v>3326</v>
      </c>
    </row>
    <row r="607" spans="1:28">
      <c r="A607">
        <v>569</v>
      </c>
      <c r="B607" t="s">
        <v>3436</v>
      </c>
      <c r="C607" t="s">
        <v>3326</v>
      </c>
      <c r="D607">
        <v>-1697</v>
      </c>
      <c r="F607">
        <v>37.39</v>
      </c>
      <c r="G607" t="s">
        <v>3326</v>
      </c>
      <c r="P607">
        <v>569</v>
      </c>
      <c r="Q607" t="s">
        <v>3459</v>
      </c>
      <c r="R607" t="s">
        <v>3327</v>
      </c>
      <c r="S607">
        <v>-121</v>
      </c>
      <c r="T607">
        <v>22.78</v>
      </c>
      <c r="U607" t="s">
        <v>3327</v>
      </c>
      <c r="W607">
        <v>569</v>
      </c>
      <c r="X607" t="s">
        <v>3436</v>
      </c>
      <c r="Y607" t="s">
        <v>3326</v>
      </c>
      <c r="Z607">
        <v>-1697</v>
      </c>
      <c r="AA607">
        <v>37.39</v>
      </c>
      <c r="AB607" t="s">
        <v>3326</v>
      </c>
    </row>
    <row r="608" spans="1:28">
      <c r="A608">
        <v>570</v>
      </c>
      <c r="B608" t="s">
        <v>3436</v>
      </c>
      <c r="C608" t="s">
        <v>3326</v>
      </c>
      <c r="D608">
        <v>-1699</v>
      </c>
      <c r="F608">
        <v>37.39</v>
      </c>
      <c r="G608" t="s">
        <v>3326</v>
      </c>
      <c r="P608">
        <v>570</v>
      </c>
      <c r="Q608" t="s">
        <v>3459</v>
      </c>
      <c r="R608" t="s">
        <v>3327</v>
      </c>
      <c r="S608">
        <v>-122</v>
      </c>
      <c r="T608">
        <v>27.95</v>
      </c>
      <c r="U608" t="s">
        <v>3327</v>
      </c>
      <c r="W608">
        <v>570</v>
      </c>
      <c r="X608" t="s">
        <v>3436</v>
      </c>
      <c r="Y608" t="s">
        <v>3326</v>
      </c>
      <c r="Z608">
        <v>-1699</v>
      </c>
      <c r="AA608">
        <v>37.39</v>
      </c>
      <c r="AB608" t="s">
        <v>3326</v>
      </c>
    </row>
    <row r="609" spans="1:28">
      <c r="A609">
        <v>571</v>
      </c>
      <c r="B609" t="s">
        <v>3436</v>
      </c>
      <c r="C609" t="s">
        <v>3326</v>
      </c>
      <c r="D609">
        <v>-1700</v>
      </c>
      <c r="F609">
        <v>35.9</v>
      </c>
      <c r="G609" t="s">
        <v>3326</v>
      </c>
      <c r="P609">
        <v>571</v>
      </c>
      <c r="Q609" t="s">
        <v>3459</v>
      </c>
      <c r="R609" t="s">
        <v>3327</v>
      </c>
      <c r="S609">
        <v>-123</v>
      </c>
      <c r="T609">
        <v>27.59</v>
      </c>
      <c r="U609" t="s">
        <v>3327</v>
      </c>
      <c r="W609">
        <v>571</v>
      </c>
      <c r="X609" t="s">
        <v>3436</v>
      </c>
      <c r="Y609" t="s">
        <v>3326</v>
      </c>
      <c r="Z609">
        <v>-1700</v>
      </c>
      <c r="AA609">
        <v>35.9</v>
      </c>
      <c r="AB609" t="s">
        <v>3326</v>
      </c>
    </row>
    <row r="610" spans="1:28">
      <c r="A610">
        <v>572</v>
      </c>
      <c r="B610" t="s">
        <v>3436</v>
      </c>
      <c r="C610" t="s">
        <v>3326</v>
      </c>
      <c r="D610">
        <v>-1701</v>
      </c>
      <c r="F610">
        <v>37.39</v>
      </c>
      <c r="G610" t="s">
        <v>3326</v>
      </c>
      <c r="P610">
        <v>572</v>
      </c>
      <c r="Q610" t="s">
        <v>3459</v>
      </c>
      <c r="R610" t="s">
        <v>3327</v>
      </c>
      <c r="S610">
        <v>-124</v>
      </c>
      <c r="T610">
        <v>19.13</v>
      </c>
      <c r="U610" t="s">
        <v>3327</v>
      </c>
      <c r="W610">
        <v>572</v>
      </c>
      <c r="X610" t="s">
        <v>3436</v>
      </c>
      <c r="Y610" t="s">
        <v>3326</v>
      </c>
      <c r="Z610">
        <v>-1701</v>
      </c>
      <c r="AA610">
        <v>37.39</v>
      </c>
      <c r="AB610" t="s">
        <v>3326</v>
      </c>
    </row>
    <row r="611" spans="1:28">
      <c r="A611">
        <v>573</v>
      </c>
      <c r="B611" t="s">
        <v>3436</v>
      </c>
      <c r="C611" t="s">
        <v>3326</v>
      </c>
      <c r="D611">
        <v>-1702</v>
      </c>
      <c r="F611">
        <v>37.39</v>
      </c>
      <c r="G611" t="s">
        <v>3326</v>
      </c>
      <c r="P611">
        <v>573</v>
      </c>
      <c r="Q611" t="s">
        <v>3459</v>
      </c>
      <c r="R611" t="s">
        <v>3327</v>
      </c>
      <c r="S611">
        <v>-125</v>
      </c>
      <c r="T611">
        <v>19.13</v>
      </c>
      <c r="U611" t="s">
        <v>3327</v>
      </c>
      <c r="W611">
        <v>573</v>
      </c>
      <c r="X611" t="s">
        <v>3436</v>
      </c>
      <c r="Y611" t="s">
        <v>3326</v>
      </c>
      <c r="Z611">
        <v>-1702</v>
      </c>
      <c r="AA611">
        <v>37.39</v>
      </c>
      <c r="AB611" t="s">
        <v>3326</v>
      </c>
    </row>
    <row r="612" spans="1:28">
      <c r="A612">
        <v>574</v>
      </c>
      <c r="B612" t="s">
        <v>3436</v>
      </c>
      <c r="C612" t="s">
        <v>3326</v>
      </c>
      <c r="D612">
        <v>-1703</v>
      </c>
      <c r="F612">
        <v>37.39</v>
      </c>
      <c r="G612" t="s">
        <v>3326</v>
      </c>
      <c r="P612">
        <v>574</v>
      </c>
      <c r="Q612" t="s">
        <v>3459</v>
      </c>
      <c r="R612" t="s">
        <v>3327</v>
      </c>
      <c r="S612">
        <v>-126</v>
      </c>
      <c r="T612">
        <v>27.77</v>
      </c>
      <c r="U612" t="s">
        <v>3327</v>
      </c>
      <c r="W612">
        <v>574</v>
      </c>
      <c r="X612" t="s">
        <v>3436</v>
      </c>
      <c r="Y612" t="s">
        <v>3326</v>
      </c>
      <c r="Z612">
        <v>-1703</v>
      </c>
      <c r="AA612">
        <v>37.39</v>
      </c>
      <c r="AB612" t="s">
        <v>3326</v>
      </c>
    </row>
    <row r="613" spans="1:28">
      <c r="A613">
        <v>575</v>
      </c>
      <c r="B613" t="s">
        <v>3436</v>
      </c>
      <c r="C613" t="s">
        <v>3326</v>
      </c>
      <c r="D613">
        <v>-1704</v>
      </c>
      <c r="F613">
        <v>37.39</v>
      </c>
      <c r="G613" t="s">
        <v>3326</v>
      </c>
      <c r="P613">
        <v>575</v>
      </c>
      <c r="Q613" t="s">
        <v>3459</v>
      </c>
      <c r="R613" t="s">
        <v>3327</v>
      </c>
      <c r="S613">
        <v>-127</v>
      </c>
      <c r="T613">
        <v>27.59</v>
      </c>
      <c r="U613" t="s">
        <v>3327</v>
      </c>
      <c r="W613">
        <v>575</v>
      </c>
      <c r="X613" t="s">
        <v>3436</v>
      </c>
      <c r="Y613" t="s">
        <v>3326</v>
      </c>
      <c r="Z613">
        <v>-1704</v>
      </c>
      <c r="AA613">
        <v>37.39</v>
      </c>
      <c r="AB613" t="s">
        <v>3326</v>
      </c>
    </row>
    <row r="614" spans="1:28">
      <c r="A614">
        <v>576</v>
      </c>
      <c r="B614" t="s">
        <v>3436</v>
      </c>
      <c r="C614" t="s">
        <v>3326</v>
      </c>
      <c r="D614">
        <v>-1705</v>
      </c>
      <c r="F614">
        <v>37.39</v>
      </c>
      <c r="G614" t="s">
        <v>3326</v>
      </c>
      <c r="P614">
        <v>576</v>
      </c>
      <c r="Q614" t="s">
        <v>3459</v>
      </c>
      <c r="R614" t="s">
        <v>3327</v>
      </c>
      <c r="S614">
        <v>-128</v>
      </c>
      <c r="T614">
        <v>19.77</v>
      </c>
      <c r="U614" t="s">
        <v>3327</v>
      </c>
      <c r="W614">
        <v>576</v>
      </c>
      <c r="X614" t="s">
        <v>3436</v>
      </c>
      <c r="Y614" t="s">
        <v>3326</v>
      </c>
      <c r="Z614">
        <v>-1705</v>
      </c>
      <c r="AA614">
        <v>37.39</v>
      </c>
      <c r="AB614" t="s">
        <v>3326</v>
      </c>
    </row>
    <row r="615" spans="1:28">
      <c r="A615">
        <v>577</v>
      </c>
      <c r="B615" t="s">
        <v>3436</v>
      </c>
      <c r="C615" t="s">
        <v>3326</v>
      </c>
      <c r="D615">
        <v>-1706</v>
      </c>
      <c r="F615">
        <v>37.39</v>
      </c>
      <c r="G615" t="s">
        <v>3326</v>
      </c>
      <c r="P615">
        <v>577</v>
      </c>
      <c r="Q615" t="s">
        <v>3459</v>
      </c>
      <c r="R615" t="s">
        <v>3327</v>
      </c>
      <c r="S615">
        <v>-129</v>
      </c>
      <c r="T615">
        <v>19.77</v>
      </c>
      <c r="U615" t="s">
        <v>3327</v>
      </c>
      <c r="W615">
        <v>577</v>
      </c>
      <c r="X615" t="s">
        <v>3436</v>
      </c>
      <c r="Y615" t="s">
        <v>3326</v>
      </c>
      <c r="Z615">
        <v>-1706</v>
      </c>
      <c r="AA615">
        <v>37.39</v>
      </c>
      <c r="AB615" t="s">
        <v>3326</v>
      </c>
    </row>
    <row r="616" spans="1:28">
      <c r="A616">
        <v>578</v>
      </c>
      <c r="B616" t="s">
        <v>3436</v>
      </c>
      <c r="C616" t="s">
        <v>3326</v>
      </c>
      <c r="D616">
        <v>-1707</v>
      </c>
      <c r="F616">
        <v>37.39</v>
      </c>
      <c r="G616" t="s">
        <v>3326</v>
      </c>
      <c r="P616">
        <v>578</v>
      </c>
      <c r="Q616" t="s">
        <v>3459</v>
      </c>
      <c r="R616" t="s">
        <v>3327</v>
      </c>
      <c r="S616">
        <v>-130</v>
      </c>
      <c r="T616">
        <v>27.59</v>
      </c>
      <c r="U616" t="s">
        <v>3327</v>
      </c>
      <c r="W616">
        <v>578</v>
      </c>
      <c r="X616" t="s">
        <v>3436</v>
      </c>
      <c r="Y616" t="s">
        <v>3326</v>
      </c>
      <c r="Z616">
        <v>-1707</v>
      </c>
      <c r="AA616">
        <v>37.39</v>
      </c>
      <c r="AB616" t="s">
        <v>3326</v>
      </c>
    </row>
    <row r="617" spans="1:28">
      <c r="A617">
        <v>579</v>
      </c>
      <c r="B617" t="s">
        <v>3436</v>
      </c>
      <c r="C617" t="s">
        <v>3326</v>
      </c>
      <c r="D617">
        <v>-1708</v>
      </c>
      <c r="F617">
        <v>37.39</v>
      </c>
      <c r="G617" t="s">
        <v>3326</v>
      </c>
      <c r="P617">
        <v>579</v>
      </c>
      <c r="Q617" t="s">
        <v>3459</v>
      </c>
      <c r="R617" t="s">
        <v>3327</v>
      </c>
      <c r="S617">
        <v>-201</v>
      </c>
      <c r="T617">
        <v>19.2</v>
      </c>
      <c r="U617" t="s">
        <v>3327</v>
      </c>
      <c r="W617">
        <v>579</v>
      </c>
      <c r="X617" t="s">
        <v>3436</v>
      </c>
      <c r="Y617" t="s">
        <v>3326</v>
      </c>
      <c r="Z617">
        <v>-1708</v>
      </c>
      <c r="AA617">
        <v>37.39</v>
      </c>
      <c r="AB617" t="s">
        <v>3326</v>
      </c>
    </row>
    <row r="618" spans="1:28">
      <c r="A618">
        <v>580</v>
      </c>
      <c r="B618" t="s">
        <v>3436</v>
      </c>
      <c r="C618" t="s">
        <v>3326</v>
      </c>
      <c r="D618">
        <v>-1709</v>
      </c>
      <c r="F618">
        <v>35.9</v>
      </c>
      <c r="G618" t="s">
        <v>3326</v>
      </c>
      <c r="P618">
        <v>580</v>
      </c>
      <c r="Q618" t="s">
        <v>3459</v>
      </c>
      <c r="R618" t="s">
        <v>3327</v>
      </c>
      <c r="S618">
        <v>-202</v>
      </c>
      <c r="T618">
        <v>16.329999999999998</v>
      </c>
      <c r="U618" t="s">
        <v>3327</v>
      </c>
      <c r="W618">
        <v>580</v>
      </c>
      <c r="X618" t="s">
        <v>3436</v>
      </c>
      <c r="Y618" t="s">
        <v>3326</v>
      </c>
      <c r="Z618">
        <v>-1709</v>
      </c>
      <c r="AA618">
        <v>35.9</v>
      </c>
      <c r="AB618" t="s">
        <v>3326</v>
      </c>
    </row>
    <row r="619" spans="1:28">
      <c r="A619">
        <v>581</v>
      </c>
      <c r="B619" t="s">
        <v>3437</v>
      </c>
      <c r="C619" t="s">
        <v>3327</v>
      </c>
      <c r="D619">
        <v>-101</v>
      </c>
      <c r="F619">
        <v>27.99</v>
      </c>
      <c r="G619" t="s">
        <v>3327</v>
      </c>
      <c r="P619">
        <v>581</v>
      </c>
      <c r="Q619" t="s">
        <v>3459</v>
      </c>
      <c r="R619" t="s">
        <v>3327</v>
      </c>
      <c r="S619">
        <v>-203</v>
      </c>
      <c r="T619">
        <v>12.38</v>
      </c>
      <c r="U619" t="s">
        <v>3327</v>
      </c>
      <c r="AA619">
        <f>SUM(AA39:AA618)</f>
        <v>21761.329999999823</v>
      </c>
    </row>
    <row r="620" spans="1:28">
      <c r="A620">
        <v>582</v>
      </c>
      <c r="B620" t="s">
        <v>3437</v>
      </c>
      <c r="C620" t="s">
        <v>3327</v>
      </c>
      <c r="D620">
        <v>-102</v>
      </c>
      <c r="F620">
        <v>22.8</v>
      </c>
      <c r="G620" t="s">
        <v>3327</v>
      </c>
      <c r="P620">
        <v>582</v>
      </c>
      <c r="Q620" t="s">
        <v>3459</v>
      </c>
      <c r="R620" t="s">
        <v>3327</v>
      </c>
      <c r="S620">
        <v>-204</v>
      </c>
      <c r="T620">
        <v>16.329999999999998</v>
      </c>
      <c r="U620" t="s">
        <v>3327</v>
      </c>
    </row>
    <row r="621" spans="1:28">
      <c r="A621">
        <v>583</v>
      </c>
      <c r="B621" t="s">
        <v>3437</v>
      </c>
      <c r="C621" t="s">
        <v>3327</v>
      </c>
      <c r="D621">
        <v>-103</v>
      </c>
      <c r="F621">
        <v>47.99</v>
      </c>
      <c r="G621" t="s">
        <v>3327</v>
      </c>
      <c r="P621">
        <v>583</v>
      </c>
      <c r="Q621" t="s">
        <v>3459</v>
      </c>
      <c r="R621" t="s">
        <v>3327</v>
      </c>
      <c r="S621">
        <v>-205</v>
      </c>
      <c r="T621">
        <v>12.38</v>
      </c>
      <c r="U621" t="s">
        <v>3327</v>
      </c>
    </row>
    <row r="622" spans="1:28">
      <c r="A622">
        <v>584</v>
      </c>
      <c r="B622" t="s">
        <v>3437</v>
      </c>
      <c r="C622" t="s">
        <v>3327</v>
      </c>
      <c r="D622">
        <v>-104</v>
      </c>
      <c r="F622">
        <v>49.61</v>
      </c>
      <c r="G622" t="s">
        <v>3327</v>
      </c>
      <c r="P622">
        <v>584</v>
      </c>
      <c r="Q622" t="s">
        <v>3459</v>
      </c>
      <c r="R622" t="s">
        <v>3327</v>
      </c>
      <c r="S622">
        <v>-206</v>
      </c>
      <c r="T622">
        <v>17</v>
      </c>
      <c r="U622" t="s">
        <v>3327</v>
      </c>
    </row>
    <row r="623" spans="1:28">
      <c r="A623">
        <v>585</v>
      </c>
      <c r="B623" t="s">
        <v>3437</v>
      </c>
      <c r="C623" t="s">
        <v>3327</v>
      </c>
      <c r="D623">
        <v>-105</v>
      </c>
      <c r="F623">
        <v>23.64</v>
      </c>
      <c r="G623" t="s">
        <v>3327</v>
      </c>
      <c r="P623">
        <v>585</v>
      </c>
      <c r="Q623" t="s">
        <v>3460</v>
      </c>
      <c r="R623" t="s">
        <v>3327</v>
      </c>
      <c r="S623">
        <v>-101</v>
      </c>
      <c r="T623">
        <v>30.98</v>
      </c>
      <c r="U623" t="s">
        <v>3327</v>
      </c>
    </row>
    <row r="624" spans="1:28">
      <c r="A624">
        <v>586</v>
      </c>
      <c r="B624" t="s">
        <v>3437</v>
      </c>
      <c r="C624" t="s">
        <v>3327</v>
      </c>
      <c r="D624">
        <v>-106</v>
      </c>
      <c r="F624">
        <v>23.67</v>
      </c>
      <c r="G624" t="s">
        <v>3327</v>
      </c>
      <c r="P624">
        <v>586</v>
      </c>
      <c r="Q624" t="s">
        <v>3460</v>
      </c>
      <c r="R624" t="s">
        <v>3327</v>
      </c>
      <c r="S624">
        <v>-102</v>
      </c>
      <c r="T624">
        <v>16.059999999999999</v>
      </c>
      <c r="U624" t="s">
        <v>3327</v>
      </c>
    </row>
    <row r="625" spans="1:21">
      <c r="A625">
        <v>587</v>
      </c>
      <c r="B625" t="s">
        <v>3437</v>
      </c>
      <c r="C625" t="s">
        <v>3327</v>
      </c>
      <c r="D625">
        <v>-107</v>
      </c>
      <c r="F625">
        <v>56.68</v>
      </c>
      <c r="G625" t="s">
        <v>3327</v>
      </c>
      <c r="P625">
        <v>587</v>
      </c>
      <c r="Q625" t="s">
        <v>3460</v>
      </c>
      <c r="R625" t="s">
        <v>3327</v>
      </c>
      <c r="S625">
        <v>-103</v>
      </c>
      <c r="T625">
        <v>46.48</v>
      </c>
      <c r="U625" t="s">
        <v>3327</v>
      </c>
    </row>
    <row r="626" spans="1:21">
      <c r="A626">
        <v>588</v>
      </c>
      <c r="B626" t="s">
        <v>3437</v>
      </c>
      <c r="C626" t="s">
        <v>3327</v>
      </c>
      <c r="D626">
        <v>-108</v>
      </c>
      <c r="F626">
        <v>41.11</v>
      </c>
      <c r="G626" t="s">
        <v>3327</v>
      </c>
      <c r="P626">
        <v>588</v>
      </c>
      <c r="Q626" t="s">
        <v>3460</v>
      </c>
      <c r="R626" t="s">
        <v>3327</v>
      </c>
      <c r="S626">
        <v>-104</v>
      </c>
      <c r="T626">
        <v>53.69</v>
      </c>
      <c r="U626" t="s">
        <v>3327</v>
      </c>
    </row>
    <row r="627" spans="1:21">
      <c r="A627">
        <v>589</v>
      </c>
      <c r="B627" t="s">
        <v>3437</v>
      </c>
      <c r="C627" t="s">
        <v>3327</v>
      </c>
      <c r="D627">
        <v>-109</v>
      </c>
      <c r="F627">
        <v>41.11</v>
      </c>
      <c r="G627" t="s">
        <v>3327</v>
      </c>
      <c r="P627">
        <v>589</v>
      </c>
      <c r="Q627" t="s">
        <v>3460</v>
      </c>
      <c r="R627" t="s">
        <v>3327</v>
      </c>
      <c r="S627">
        <v>-105</v>
      </c>
      <c r="T627">
        <v>23.63</v>
      </c>
      <c r="U627" t="s">
        <v>3327</v>
      </c>
    </row>
    <row r="628" spans="1:21">
      <c r="A628">
        <v>590</v>
      </c>
      <c r="B628" t="s">
        <v>3437</v>
      </c>
      <c r="C628" t="s">
        <v>3327</v>
      </c>
      <c r="D628">
        <v>-110</v>
      </c>
      <c r="F628">
        <v>56.68</v>
      </c>
      <c r="G628" t="s">
        <v>3327</v>
      </c>
      <c r="P628">
        <v>590</v>
      </c>
      <c r="Q628" t="s">
        <v>3460</v>
      </c>
      <c r="R628" t="s">
        <v>3327</v>
      </c>
      <c r="S628">
        <v>-106</v>
      </c>
      <c r="T628">
        <v>23.66</v>
      </c>
      <c r="U628" t="s">
        <v>3327</v>
      </c>
    </row>
    <row r="629" spans="1:21">
      <c r="A629">
        <v>591</v>
      </c>
      <c r="B629" t="s">
        <v>3437</v>
      </c>
      <c r="C629">
        <v>1</v>
      </c>
      <c r="D629">
        <v>101</v>
      </c>
      <c r="F629">
        <v>184.9</v>
      </c>
      <c r="G629" t="s">
        <v>3403</v>
      </c>
      <c r="P629">
        <v>591</v>
      </c>
      <c r="Q629" t="s">
        <v>3460</v>
      </c>
      <c r="R629" t="s">
        <v>3327</v>
      </c>
      <c r="S629">
        <v>-107</v>
      </c>
      <c r="T629">
        <v>56.65</v>
      </c>
      <c r="U629" t="s">
        <v>3327</v>
      </c>
    </row>
    <row r="630" spans="1:21">
      <c r="A630">
        <v>592</v>
      </c>
      <c r="B630" t="s">
        <v>3437</v>
      </c>
      <c r="C630">
        <v>1</v>
      </c>
      <c r="D630">
        <v>102</v>
      </c>
      <c r="F630">
        <v>161.79</v>
      </c>
      <c r="G630" t="s">
        <v>3403</v>
      </c>
      <c r="P630">
        <v>592</v>
      </c>
      <c r="Q630" t="s">
        <v>3460</v>
      </c>
      <c r="R630" t="s">
        <v>3327</v>
      </c>
      <c r="S630">
        <v>-108</v>
      </c>
      <c r="T630">
        <v>41.09</v>
      </c>
      <c r="U630" t="s">
        <v>3327</v>
      </c>
    </row>
    <row r="631" spans="1:21">
      <c r="A631">
        <v>593</v>
      </c>
      <c r="B631" t="s">
        <v>3437</v>
      </c>
      <c r="C631" t="s">
        <v>3327</v>
      </c>
      <c r="D631">
        <v>-111</v>
      </c>
      <c r="F631">
        <v>23.67</v>
      </c>
      <c r="G631" t="s">
        <v>3327</v>
      </c>
      <c r="P631">
        <v>593</v>
      </c>
      <c r="Q631" t="s">
        <v>3460</v>
      </c>
      <c r="R631" t="s">
        <v>3327</v>
      </c>
      <c r="S631">
        <v>-109</v>
      </c>
      <c r="T631">
        <v>41.09</v>
      </c>
      <c r="U631" t="s">
        <v>3327</v>
      </c>
    </row>
    <row r="632" spans="1:21">
      <c r="A632">
        <v>594</v>
      </c>
      <c r="B632" t="s">
        <v>3437</v>
      </c>
      <c r="C632" t="s">
        <v>3327</v>
      </c>
      <c r="D632">
        <v>-112</v>
      </c>
      <c r="F632">
        <v>23.64</v>
      </c>
      <c r="G632" t="s">
        <v>3327</v>
      </c>
      <c r="P632">
        <v>594</v>
      </c>
      <c r="Q632" t="s">
        <v>3460</v>
      </c>
      <c r="R632" t="s">
        <v>3327</v>
      </c>
      <c r="S632">
        <v>-110</v>
      </c>
      <c r="T632">
        <v>56.65</v>
      </c>
      <c r="U632" t="s">
        <v>3327</v>
      </c>
    </row>
    <row r="633" spans="1:21">
      <c r="A633">
        <v>595</v>
      </c>
      <c r="B633" t="s">
        <v>3437</v>
      </c>
      <c r="C633" t="s">
        <v>3327</v>
      </c>
      <c r="D633">
        <v>-113</v>
      </c>
      <c r="F633">
        <v>53.72</v>
      </c>
      <c r="G633" t="s">
        <v>3327</v>
      </c>
      <c r="P633">
        <v>595</v>
      </c>
      <c r="Q633" t="s">
        <v>3460</v>
      </c>
      <c r="R633" t="s">
        <v>3327</v>
      </c>
      <c r="S633">
        <v>-111</v>
      </c>
      <c r="T633">
        <v>23.66</v>
      </c>
      <c r="U633" t="s">
        <v>3327</v>
      </c>
    </row>
    <row r="634" spans="1:21">
      <c r="A634">
        <v>596</v>
      </c>
      <c r="B634" t="s">
        <v>3437</v>
      </c>
      <c r="C634" t="s">
        <v>3327</v>
      </c>
      <c r="D634">
        <v>-114</v>
      </c>
      <c r="F634">
        <v>46.5</v>
      </c>
      <c r="G634" t="s">
        <v>3327</v>
      </c>
      <c r="P634">
        <v>596</v>
      </c>
      <c r="Q634" t="s">
        <v>3460</v>
      </c>
      <c r="R634" t="s">
        <v>3327</v>
      </c>
      <c r="S634">
        <v>-112</v>
      </c>
      <c r="T634">
        <v>23.63</v>
      </c>
      <c r="U634" t="s">
        <v>3327</v>
      </c>
    </row>
    <row r="635" spans="1:21">
      <c r="A635">
        <v>597</v>
      </c>
      <c r="B635" t="s">
        <v>3437</v>
      </c>
      <c r="C635" t="s">
        <v>3327</v>
      </c>
      <c r="D635">
        <v>-115</v>
      </c>
      <c r="F635">
        <v>16.07</v>
      </c>
      <c r="G635" t="s">
        <v>3327</v>
      </c>
      <c r="P635">
        <v>597</v>
      </c>
      <c r="Q635" t="s">
        <v>3460</v>
      </c>
      <c r="R635" t="s">
        <v>3327</v>
      </c>
      <c r="S635">
        <v>-113</v>
      </c>
      <c r="T635">
        <v>49.59</v>
      </c>
      <c r="U635" t="s">
        <v>3327</v>
      </c>
    </row>
    <row r="636" spans="1:21">
      <c r="A636">
        <v>598</v>
      </c>
      <c r="B636" t="s">
        <v>3437</v>
      </c>
      <c r="C636" t="s">
        <v>3327</v>
      </c>
      <c r="D636">
        <v>-116</v>
      </c>
      <c r="F636">
        <v>31</v>
      </c>
      <c r="G636" t="s">
        <v>3327</v>
      </c>
      <c r="P636">
        <v>598</v>
      </c>
      <c r="Q636" t="s">
        <v>3460</v>
      </c>
      <c r="R636" t="s">
        <v>3327</v>
      </c>
      <c r="S636">
        <v>-114</v>
      </c>
      <c r="T636">
        <v>47.96</v>
      </c>
      <c r="U636" t="s">
        <v>3327</v>
      </c>
    </row>
    <row r="637" spans="1:21">
      <c r="A637">
        <v>599</v>
      </c>
      <c r="B637" t="s">
        <v>3437</v>
      </c>
      <c r="C637" t="s">
        <v>3327</v>
      </c>
      <c r="D637">
        <v>-117</v>
      </c>
      <c r="F637">
        <v>27.63</v>
      </c>
      <c r="G637" t="s">
        <v>3327</v>
      </c>
      <c r="P637">
        <v>599</v>
      </c>
      <c r="Q637" t="s">
        <v>3460</v>
      </c>
      <c r="R637" t="s">
        <v>3327</v>
      </c>
      <c r="S637">
        <v>-115</v>
      </c>
      <c r="T637">
        <v>22.62</v>
      </c>
      <c r="U637" t="s">
        <v>3327</v>
      </c>
    </row>
    <row r="638" spans="1:21">
      <c r="A638">
        <v>600</v>
      </c>
      <c r="B638" t="s">
        <v>3437</v>
      </c>
      <c r="C638" t="s">
        <v>3327</v>
      </c>
      <c r="D638">
        <v>-118</v>
      </c>
      <c r="F638">
        <v>19.16</v>
      </c>
      <c r="G638" t="s">
        <v>3327</v>
      </c>
      <c r="P638">
        <v>600</v>
      </c>
      <c r="Q638" t="s">
        <v>3460</v>
      </c>
      <c r="R638" t="s">
        <v>3327</v>
      </c>
      <c r="S638">
        <v>-116</v>
      </c>
      <c r="T638">
        <v>27.97</v>
      </c>
      <c r="U638" t="s">
        <v>3327</v>
      </c>
    </row>
    <row r="639" spans="1:21">
      <c r="A639">
        <v>601</v>
      </c>
      <c r="B639" t="s">
        <v>3437</v>
      </c>
      <c r="C639" t="s">
        <v>3327</v>
      </c>
      <c r="D639">
        <v>-119</v>
      </c>
      <c r="F639">
        <v>19.16</v>
      </c>
      <c r="G639" t="s">
        <v>3327</v>
      </c>
      <c r="P639">
        <v>601</v>
      </c>
      <c r="Q639" t="s">
        <v>3460</v>
      </c>
      <c r="R639" t="s">
        <v>3327</v>
      </c>
      <c r="S639">
        <v>-117</v>
      </c>
      <c r="T639">
        <v>27.62</v>
      </c>
      <c r="U639" t="s">
        <v>3327</v>
      </c>
    </row>
    <row r="640" spans="1:21">
      <c r="A640">
        <v>602</v>
      </c>
      <c r="B640" t="s">
        <v>3437</v>
      </c>
      <c r="C640" t="s">
        <v>3327</v>
      </c>
      <c r="D640">
        <v>-120</v>
      </c>
      <c r="F640">
        <v>27.63</v>
      </c>
      <c r="G640" t="s">
        <v>3327</v>
      </c>
      <c r="P640">
        <v>602</v>
      </c>
      <c r="Q640" t="s">
        <v>3460</v>
      </c>
      <c r="R640" t="s">
        <v>3327</v>
      </c>
      <c r="S640">
        <v>-118</v>
      </c>
      <c r="T640">
        <v>19.149999999999999</v>
      </c>
      <c r="U640" t="s">
        <v>3327</v>
      </c>
    </row>
    <row r="641" spans="1:21">
      <c r="A641">
        <v>603</v>
      </c>
      <c r="B641" t="s">
        <v>3437</v>
      </c>
      <c r="C641">
        <v>1</v>
      </c>
      <c r="D641">
        <v>301</v>
      </c>
      <c r="F641">
        <v>184.94</v>
      </c>
      <c r="G641" t="s">
        <v>3403</v>
      </c>
      <c r="P641">
        <v>603</v>
      </c>
      <c r="Q641" t="s">
        <v>3460</v>
      </c>
      <c r="R641" t="s">
        <v>3327</v>
      </c>
      <c r="S641">
        <v>-119</v>
      </c>
      <c r="T641">
        <v>19.149999999999999</v>
      </c>
      <c r="U641" t="s">
        <v>3327</v>
      </c>
    </row>
    <row r="642" spans="1:21">
      <c r="A642">
        <v>604</v>
      </c>
      <c r="B642" t="s">
        <v>3437</v>
      </c>
      <c r="C642" t="s">
        <v>3327</v>
      </c>
      <c r="D642">
        <v>-201</v>
      </c>
      <c r="F642">
        <v>16.350000000000001</v>
      </c>
      <c r="G642" t="s">
        <v>3327</v>
      </c>
      <c r="P642">
        <v>604</v>
      </c>
      <c r="Q642" t="s">
        <v>3460</v>
      </c>
      <c r="R642" t="s">
        <v>3327</v>
      </c>
      <c r="S642">
        <v>-120</v>
      </c>
      <c r="T642">
        <v>27.62</v>
      </c>
      <c r="U642" t="s">
        <v>3327</v>
      </c>
    </row>
    <row r="643" spans="1:21">
      <c r="A643">
        <v>605</v>
      </c>
      <c r="B643" t="s">
        <v>3437</v>
      </c>
      <c r="C643" t="s">
        <v>3327</v>
      </c>
      <c r="D643">
        <v>-202</v>
      </c>
      <c r="F643">
        <v>12.43</v>
      </c>
      <c r="G643" t="s">
        <v>3327</v>
      </c>
      <c r="P643">
        <v>605</v>
      </c>
      <c r="Q643" t="s">
        <v>3460</v>
      </c>
      <c r="R643" t="s">
        <v>3327</v>
      </c>
      <c r="S643">
        <v>-201</v>
      </c>
      <c r="T643">
        <v>18.329999999999998</v>
      </c>
      <c r="U643" t="s">
        <v>3327</v>
      </c>
    </row>
    <row r="644" spans="1:21">
      <c r="A644">
        <v>606</v>
      </c>
      <c r="B644" t="s">
        <v>3437</v>
      </c>
      <c r="C644" t="s">
        <v>3327</v>
      </c>
      <c r="D644">
        <v>-203</v>
      </c>
      <c r="F644">
        <v>17.78</v>
      </c>
      <c r="G644" t="s">
        <v>3327</v>
      </c>
      <c r="P644">
        <v>606</v>
      </c>
      <c r="Q644" t="s">
        <v>3460</v>
      </c>
      <c r="R644" t="s">
        <v>3327</v>
      </c>
      <c r="S644">
        <v>-202</v>
      </c>
      <c r="T644">
        <v>16.34</v>
      </c>
      <c r="U644" t="s">
        <v>3327</v>
      </c>
    </row>
    <row r="645" spans="1:21">
      <c r="A645">
        <v>607</v>
      </c>
      <c r="B645" t="s">
        <v>3437</v>
      </c>
      <c r="C645" t="s">
        <v>3327</v>
      </c>
      <c r="D645">
        <v>-204</v>
      </c>
      <c r="F645">
        <v>20.59</v>
      </c>
      <c r="G645" t="s">
        <v>3327</v>
      </c>
      <c r="P645">
        <v>607</v>
      </c>
      <c r="Q645" t="s">
        <v>3460</v>
      </c>
      <c r="R645" t="s">
        <v>3327</v>
      </c>
      <c r="S645">
        <v>-203</v>
      </c>
      <c r="T645">
        <v>16.34</v>
      </c>
      <c r="U645" t="s">
        <v>3327</v>
      </c>
    </row>
    <row r="646" spans="1:21">
      <c r="A646">
        <v>608</v>
      </c>
      <c r="B646" t="s">
        <v>3437</v>
      </c>
      <c r="C646">
        <v>2</v>
      </c>
      <c r="D646">
        <v>101</v>
      </c>
      <c r="F646">
        <v>161.79</v>
      </c>
      <c r="G646" t="s">
        <v>3403</v>
      </c>
      <c r="P646">
        <v>608</v>
      </c>
      <c r="Q646" t="s">
        <v>3460</v>
      </c>
      <c r="R646" t="s">
        <v>3327</v>
      </c>
      <c r="S646">
        <v>-204</v>
      </c>
      <c r="T646">
        <v>17.02</v>
      </c>
      <c r="U646" t="s">
        <v>3327</v>
      </c>
    </row>
    <row r="647" spans="1:21">
      <c r="A647">
        <v>609</v>
      </c>
      <c r="B647" t="s">
        <v>3437</v>
      </c>
      <c r="C647">
        <v>2</v>
      </c>
      <c r="D647">
        <v>102</v>
      </c>
      <c r="F647">
        <v>192.47</v>
      </c>
      <c r="G647" t="s">
        <v>3403</v>
      </c>
      <c r="T647">
        <f>SUM(T39:T646)</f>
        <v>21052.319999999982</v>
      </c>
    </row>
    <row r="648" spans="1:21">
      <c r="A648">
        <v>610</v>
      </c>
      <c r="B648" t="s">
        <v>3437</v>
      </c>
      <c r="C648">
        <v>2</v>
      </c>
      <c r="D648">
        <v>201</v>
      </c>
      <c r="F648">
        <v>184.44</v>
      </c>
      <c r="G648" t="s">
        <v>3403</v>
      </c>
    </row>
    <row r="649" spans="1:21">
      <c r="A649">
        <v>611</v>
      </c>
      <c r="B649" t="s">
        <v>3438</v>
      </c>
      <c r="C649" t="s">
        <v>3327</v>
      </c>
      <c r="D649">
        <v>-101</v>
      </c>
      <c r="F649">
        <v>30.96</v>
      </c>
      <c r="G649" t="s">
        <v>3327</v>
      </c>
    </row>
    <row r="650" spans="1:21">
      <c r="A650">
        <v>612</v>
      </c>
      <c r="B650" t="s">
        <v>3438</v>
      </c>
      <c r="C650" t="s">
        <v>3327</v>
      </c>
      <c r="D650">
        <v>-102</v>
      </c>
      <c r="F650">
        <v>16.05</v>
      </c>
      <c r="G650" t="s">
        <v>3327</v>
      </c>
    </row>
    <row r="651" spans="1:21">
      <c r="A651">
        <v>613</v>
      </c>
      <c r="B651" t="s">
        <v>3438</v>
      </c>
      <c r="C651" t="s">
        <v>3327</v>
      </c>
      <c r="D651">
        <v>-103</v>
      </c>
      <c r="F651">
        <v>46.62</v>
      </c>
      <c r="G651" t="s">
        <v>3327</v>
      </c>
    </row>
    <row r="652" spans="1:21">
      <c r="A652">
        <v>614</v>
      </c>
      <c r="B652" t="s">
        <v>3438</v>
      </c>
      <c r="C652" t="s">
        <v>3327</v>
      </c>
      <c r="D652">
        <v>-104</v>
      </c>
      <c r="F652">
        <v>53.65</v>
      </c>
      <c r="G652" t="s">
        <v>3327</v>
      </c>
    </row>
    <row r="653" spans="1:21">
      <c r="A653">
        <v>615</v>
      </c>
      <c r="B653" t="s">
        <v>3438</v>
      </c>
      <c r="C653" t="s">
        <v>3327</v>
      </c>
      <c r="D653">
        <v>-105</v>
      </c>
      <c r="F653">
        <v>23.61</v>
      </c>
      <c r="G653" t="s">
        <v>3327</v>
      </c>
    </row>
    <row r="654" spans="1:21">
      <c r="A654">
        <v>616</v>
      </c>
      <c r="B654" t="s">
        <v>3438</v>
      </c>
      <c r="C654" t="s">
        <v>3327</v>
      </c>
      <c r="D654">
        <v>-106</v>
      </c>
      <c r="F654">
        <v>23.65</v>
      </c>
      <c r="G654" t="s">
        <v>3327</v>
      </c>
    </row>
    <row r="655" spans="1:21">
      <c r="A655">
        <v>617</v>
      </c>
      <c r="B655" t="s">
        <v>3438</v>
      </c>
      <c r="C655" t="s">
        <v>3327</v>
      </c>
      <c r="D655">
        <v>-107</v>
      </c>
      <c r="F655">
        <v>56.61</v>
      </c>
      <c r="G655" t="s">
        <v>3327</v>
      </c>
    </row>
    <row r="656" spans="1:21">
      <c r="A656">
        <v>618</v>
      </c>
      <c r="B656" t="s">
        <v>3438</v>
      </c>
      <c r="C656" t="s">
        <v>3327</v>
      </c>
      <c r="D656">
        <v>-108</v>
      </c>
      <c r="F656">
        <v>41.07</v>
      </c>
      <c r="G656" t="s">
        <v>3327</v>
      </c>
    </row>
    <row r="657" spans="1:7">
      <c r="A657">
        <v>619</v>
      </c>
      <c r="B657" t="s">
        <v>3438</v>
      </c>
      <c r="C657" t="s">
        <v>3327</v>
      </c>
      <c r="D657">
        <v>-109</v>
      </c>
      <c r="F657">
        <v>41.07</v>
      </c>
      <c r="G657" t="s">
        <v>3327</v>
      </c>
    </row>
    <row r="658" spans="1:7">
      <c r="A658">
        <v>620</v>
      </c>
      <c r="B658" t="s">
        <v>3438</v>
      </c>
      <c r="C658" t="s">
        <v>3327</v>
      </c>
      <c r="D658">
        <v>-110</v>
      </c>
      <c r="F658">
        <v>56.61</v>
      </c>
      <c r="G658" t="s">
        <v>3327</v>
      </c>
    </row>
    <row r="659" spans="1:7">
      <c r="A659">
        <v>621</v>
      </c>
      <c r="B659" t="s">
        <v>3439</v>
      </c>
      <c r="C659" t="s">
        <v>3327</v>
      </c>
      <c r="D659">
        <v>-101</v>
      </c>
      <c r="F659">
        <v>31.07</v>
      </c>
      <c r="G659" t="s">
        <v>3327</v>
      </c>
    </row>
    <row r="660" spans="1:7">
      <c r="A660">
        <v>622</v>
      </c>
      <c r="B660" t="s">
        <v>3438</v>
      </c>
      <c r="C660">
        <v>1</v>
      </c>
      <c r="D660">
        <v>101</v>
      </c>
      <c r="F660">
        <v>192.35</v>
      </c>
      <c r="G660" t="s">
        <v>3403</v>
      </c>
    </row>
    <row r="661" spans="1:7">
      <c r="A661">
        <v>623</v>
      </c>
      <c r="B661" t="s">
        <v>3439</v>
      </c>
      <c r="C661" t="s">
        <v>3327</v>
      </c>
      <c r="D661">
        <v>-102</v>
      </c>
      <c r="F661">
        <v>16.239999999999998</v>
      </c>
      <c r="G661" t="s">
        <v>3327</v>
      </c>
    </row>
    <row r="662" spans="1:7">
      <c r="A662">
        <v>624</v>
      </c>
      <c r="B662" t="s">
        <v>3438</v>
      </c>
      <c r="C662">
        <v>1</v>
      </c>
      <c r="D662">
        <v>102</v>
      </c>
      <c r="F662">
        <v>161.68</v>
      </c>
      <c r="G662" t="s">
        <v>3403</v>
      </c>
    </row>
    <row r="663" spans="1:7">
      <c r="A663">
        <v>625</v>
      </c>
      <c r="B663" t="s">
        <v>3439</v>
      </c>
      <c r="C663" t="s">
        <v>3327</v>
      </c>
      <c r="D663">
        <v>-103</v>
      </c>
      <c r="F663">
        <v>46.61</v>
      </c>
      <c r="G663" t="s">
        <v>3327</v>
      </c>
    </row>
    <row r="664" spans="1:7">
      <c r="A664">
        <v>626</v>
      </c>
      <c r="B664" t="s">
        <v>3439</v>
      </c>
      <c r="C664" t="s">
        <v>3327</v>
      </c>
      <c r="D664">
        <v>-104</v>
      </c>
      <c r="F664">
        <v>53.84</v>
      </c>
      <c r="G664" t="s">
        <v>3327</v>
      </c>
    </row>
    <row r="665" spans="1:7">
      <c r="A665">
        <v>627</v>
      </c>
      <c r="B665" t="s">
        <v>3439</v>
      </c>
      <c r="C665" t="s">
        <v>3327</v>
      </c>
      <c r="D665">
        <v>-105</v>
      </c>
      <c r="F665">
        <v>23.69</v>
      </c>
      <c r="G665" t="s">
        <v>3327</v>
      </c>
    </row>
    <row r="666" spans="1:7">
      <c r="A666">
        <v>628</v>
      </c>
      <c r="B666" t="s">
        <v>3439</v>
      </c>
      <c r="C666" t="s">
        <v>3327</v>
      </c>
      <c r="D666">
        <v>-106</v>
      </c>
      <c r="F666">
        <v>23.69</v>
      </c>
      <c r="G666" t="s">
        <v>3327</v>
      </c>
    </row>
    <row r="667" spans="1:7">
      <c r="A667">
        <v>629</v>
      </c>
      <c r="B667" t="s">
        <v>3439</v>
      </c>
      <c r="C667" t="s">
        <v>3327</v>
      </c>
      <c r="D667">
        <v>-107</v>
      </c>
      <c r="F667">
        <v>56.77</v>
      </c>
      <c r="G667" t="s">
        <v>3327</v>
      </c>
    </row>
    <row r="668" spans="1:7">
      <c r="A668">
        <v>630</v>
      </c>
      <c r="B668" t="s">
        <v>3439</v>
      </c>
      <c r="C668" t="s">
        <v>3327</v>
      </c>
      <c r="D668">
        <v>-108</v>
      </c>
      <c r="F668">
        <v>41.51</v>
      </c>
      <c r="G668" t="s">
        <v>3327</v>
      </c>
    </row>
    <row r="669" spans="1:7">
      <c r="A669">
        <v>631</v>
      </c>
      <c r="B669" t="s">
        <v>3439</v>
      </c>
      <c r="C669" t="s">
        <v>3327</v>
      </c>
      <c r="D669">
        <v>-109</v>
      </c>
      <c r="F669">
        <v>41.51</v>
      </c>
      <c r="G669" t="s">
        <v>3327</v>
      </c>
    </row>
    <row r="670" spans="1:7">
      <c r="A670">
        <v>632</v>
      </c>
      <c r="B670" t="s">
        <v>3438</v>
      </c>
      <c r="C670" t="s">
        <v>3327</v>
      </c>
      <c r="D670">
        <v>-111</v>
      </c>
      <c r="F670">
        <v>23.65</v>
      </c>
      <c r="G670" t="s">
        <v>3327</v>
      </c>
    </row>
    <row r="671" spans="1:7">
      <c r="A671">
        <v>633</v>
      </c>
      <c r="B671" t="s">
        <v>3439</v>
      </c>
      <c r="C671" t="s">
        <v>3327</v>
      </c>
      <c r="D671">
        <v>-110</v>
      </c>
      <c r="F671">
        <v>56.77</v>
      </c>
      <c r="G671" t="s">
        <v>3327</v>
      </c>
    </row>
    <row r="672" spans="1:7">
      <c r="A672">
        <v>634</v>
      </c>
      <c r="B672" t="s">
        <v>3439</v>
      </c>
      <c r="C672">
        <v>1</v>
      </c>
      <c r="D672">
        <v>101</v>
      </c>
      <c r="F672">
        <v>192.53</v>
      </c>
      <c r="G672" t="s">
        <v>3403</v>
      </c>
    </row>
    <row r="673" spans="1:7">
      <c r="A673">
        <v>635</v>
      </c>
      <c r="B673" t="s">
        <v>3439</v>
      </c>
      <c r="C673">
        <v>1</v>
      </c>
      <c r="D673">
        <v>102</v>
      </c>
      <c r="F673">
        <v>168.09</v>
      </c>
      <c r="G673" t="s">
        <v>3403</v>
      </c>
    </row>
    <row r="674" spans="1:7">
      <c r="A674">
        <v>636</v>
      </c>
      <c r="B674" t="s">
        <v>3439</v>
      </c>
      <c r="C674" t="s">
        <v>3327</v>
      </c>
      <c r="D674">
        <v>-111</v>
      </c>
      <c r="F674">
        <v>23.69</v>
      </c>
      <c r="G674" t="s">
        <v>3327</v>
      </c>
    </row>
    <row r="675" spans="1:7">
      <c r="A675">
        <v>637</v>
      </c>
      <c r="B675" t="s">
        <v>3439</v>
      </c>
      <c r="C675" t="s">
        <v>3327</v>
      </c>
      <c r="D675">
        <v>-115</v>
      </c>
      <c r="F675">
        <v>41.21</v>
      </c>
      <c r="G675" t="s">
        <v>3327</v>
      </c>
    </row>
    <row r="676" spans="1:7">
      <c r="A676">
        <v>638</v>
      </c>
      <c r="B676" t="s">
        <v>3439</v>
      </c>
      <c r="C676" t="s">
        <v>3327</v>
      </c>
      <c r="D676">
        <v>-116</v>
      </c>
      <c r="F676">
        <v>56.77</v>
      </c>
      <c r="G676" t="s">
        <v>3327</v>
      </c>
    </row>
    <row r="677" spans="1:7">
      <c r="A677">
        <v>639</v>
      </c>
      <c r="B677" t="s">
        <v>3439</v>
      </c>
      <c r="C677" t="s">
        <v>3327</v>
      </c>
      <c r="D677">
        <v>-117</v>
      </c>
      <c r="F677">
        <v>23.69</v>
      </c>
      <c r="G677" t="s">
        <v>3327</v>
      </c>
    </row>
    <row r="678" spans="1:7">
      <c r="A678">
        <v>640</v>
      </c>
      <c r="B678" t="s">
        <v>3439</v>
      </c>
      <c r="C678" t="s">
        <v>3327</v>
      </c>
      <c r="D678">
        <v>-118</v>
      </c>
      <c r="F678">
        <v>23.69</v>
      </c>
      <c r="G678" t="s">
        <v>3327</v>
      </c>
    </row>
    <row r="679" spans="1:7">
      <c r="A679">
        <v>641</v>
      </c>
      <c r="B679" t="s">
        <v>3439</v>
      </c>
      <c r="C679" t="s">
        <v>3327</v>
      </c>
      <c r="D679">
        <v>-119</v>
      </c>
      <c r="F679">
        <v>49.72</v>
      </c>
      <c r="G679" t="s">
        <v>3327</v>
      </c>
    </row>
    <row r="680" spans="1:7">
      <c r="A680">
        <v>642</v>
      </c>
      <c r="B680" t="s">
        <v>3438</v>
      </c>
      <c r="C680" t="s">
        <v>3327</v>
      </c>
      <c r="D680">
        <v>-112</v>
      </c>
      <c r="F680">
        <v>23.61</v>
      </c>
      <c r="G680" t="s">
        <v>3327</v>
      </c>
    </row>
    <row r="681" spans="1:7">
      <c r="A681">
        <v>643</v>
      </c>
      <c r="B681" t="s">
        <v>3439</v>
      </c>
      <c r="C681" t="s">
        <v>3327</v>
      </c>
      <c r="D681">
        <v>-120</v>
      </c>
      <c r="F681">
        <v>48.09</v>
      </c>
      <c r="G681" t="s">
        <v>3327</v>
      </c>
    </row>
    <row r="682" spans="1:7">
      <c r="A682">
        <v>644</v>
      </c>
      <c r="B682" t="s">
        <v>3439</v>
      </c>
      <c r="C682" t="s">
        <v>3327</v>
      </c>
      <c r="D682">
        <v>-121</v>
      </c>
      <c r="F682">
        <v>22.85</v>
      </c>
      <c r="G682" t="s">
        <v>3327</v>
      </c>
    </row>
    <row r="683" spans="1:7">
      <c r="A683">
        <v>645</v>
      </c>
      <c r="B683" t="s">
        <v>3439</v>
      </c>
      <c r="C683" t="s">
        <v>3327</v>
      </c>
      <c r="D683">
        <v>-122</v>
      </c>
      <c r="F683">
        <v>28.05</v>
      </c>
      <c r="G683" t="s">
        <v>3327</v>
      </c>
    </row>
    <row r="684" spans="1:7">
      <c r="A684">
        <v>646</v>
      </c>
      <c r="B684" t="s">
        <v>3439</v>
      </c>
      <c r="C684" t="s">
        <v>3327</v>
      </c>
      <c r="D684">
        <v>-123</v>
      </c>
      <c r="F684">
        <v>27.69</v>
      </c>
      <c r="G684" t="s">
        <v>3327</v>
      </c>
    </row>
    <row r="685" spans="1:7">
      <c r="A685">
        <v>647</v>
      </c>
      <c r="B685" t="s">
        <v>3439</v>
      </c>
      <c r="C685" t="s">
        <v>3327</v>
      </c>
      <c r="D685">
        <v>-124</v>
      </c>
      <c r="F685">
        <v>19.2</v>
      </c>
      <c r="G685" t="s">
        <v>3327</v>
      </c>
    </row>
    <row r="686" spans="1:7">
      <c r="A686">
        <v>648</v>
      </c>
      <c r="B686" t="s">
        <v>3439</v>
      </c>
      <c r="C686" t="s">
        <v>3327</v>
      </c>
      <c r="D686">
        <v>-125</v>
      </c>
      <c r="F686">
        <v>19.2</v>
      </c>
      <c r="G686" t="s">
        <v>3327</v>
      </c>
    </row>
    <row r="687" spans="1:7">
      <c r="A687">
        <v>649</v>
      </c>
      <c r="B687" t="s">
        <v>3439</v>
      </c>
      <c r="C687" t="s">
        <v>3327</v>
      </c>
      <c r="D687">
        <v>-126</v>
      </c>
      <c r="F687">
        <v>27.86</v>
      </c>
      <c r="G687" t="s">
        <v>3327</v>
      </c>
    </row>
    <row r="688" spans="1:7">
      <c r="A688">
        <v>650</v>
      </c>
      <c r="B688" t="s">
        <v>3439</v>
      </c>
      <c r="C688" t="s">
        <v>3327</v>
      </c>
      <c r="D688">
        <v>-127</v>
      </c>
      <c r="F688">
        <v>27.69</v>
      </c>
      <c r="G688" t="s">
        <v>3327</v>
      </c>
    </row>
    <row r="689" spans="1:7">
      <c r="A689">
        <v>651</v>
      </c>
      <c r="B689" t="s">
        <v>3439</v>
      </c>
      <c r="C689" t="s">
        <v>3327</v>
      </c>
      <c r="D689">
        <v>-128</v>
      </c>
      <c r="F689">
        <v>19.84</v>
      </c>
      <c r="G689" t="s">
        <v>3327</v>
      </c>
    </row>
    <row r="690" spans="1:7">
      <c r="A690">
        <v>652</v>
      </c>
      <c r="B690" t="s">
        <v>3439</v>
      </c>
      <c r="C690" t="s">
        <v>3327</v>
      </c>
      <c r="D690">
        <v>-129</v>
      </c>
      <c r="F690">
        <v>19.84</v>
      </c>
      <c r="G690" t="s">
        <v>3327</v>
      </c>
    </row>
    <row r="691" spans="1:7">
      <c r="A691">
        <v>653</v>
      </c>
      <c r="B691" t="s">
        <v>3438</v>
      </c>
      <c r="C691" t="s">
        <v>3327</v>
      </c>
      <c r="D691">
        <v>-113</v>
      </c>
      <c r="F691">
        <v>49.56</v>
      </c>
      <c r="G691" t="s">
        <v>3327</v>
      </c>
    </row>
    <row r="692" spans="1:7">
      <c r="A692">
        <v>654</v>
      </c>
      <c r="B692" t="s">
        <v>3439</v>
      </c>
      <c r="C692" t="s">
        <v>3327</v>
      </c>
      <c r="D692">
        <v>-130</v>
      </c>
      <c r="F692">
        <v>27.69</v>
      </c>
      <c r="G692" t="s">
        <v>3327</v>
      </c>
    </row>
    <row r="693" spans="1:7">
      <c r="A693">
        <v>655</v>
      </c>
      <c r="B693" t="s">
        <v>3438</v>
      </c>
      <c r="C693" t="s">
        <v>3327</v>
      </c>
      <c r="D693">
        <v>-114</v>
      </c>
      <c r="F693">
        <v>47.93</v>
      </c>
      <c r="G693" t="s">
        <v>3327</v>
      </c>
    </row>
    <row r="694" spans="1:7">
      <c r="A694">
        <v>656</v>
      </c>
      <c r="B694" t="s">
        <v>3438</v>
      </c>
      <c r="C694" t="s">
        <v>3327</v>
      </c>
      <c r="D694">
        <v>-115</v>
      </c>
      <c r="F694">
        <v>22.61</v>
      </c>
      <c r="G694" t="s">
        <v>3327</v>
      </c>
    </row>
    <row r="695" spans="1:7">
      <c r="A695">
        <v>657</v>
      </c>
      <c r="B695" t="s">
        <v>3438</v>
      </c>
      <c r="C695" t="s">
        <v>3327</v>
      </c>
      <c r="D695">
        <v>-116</v>
      </c>
      <c r="F695">
        <v>27.95</v>
      </c>
      <c r="G695" t="s">
        <v>3327</v>
      </c>
    </row>
    <row r="696" spans="1:7">
      <c r="A696">
        <v>658</v>
      </c>
      <c r="B696" t="s">
        <v>3438</v>
      </c>
      <c r="C696" t="s">
        <v>3327</v>
      </c>
      <c r="D696">
        <v>-117</v>
      </c>
      <c r="F696">
        <v>27.6</v>
      </c>
      <c r="G696" t="s">
        <v>3327</v>
      </c>
    </row>
    <row r="697" spans="1:7">
      <c r="A697">
        <v>659</v>
      </c>
      <c r="B697" t="s">
        <v>3438</v>
      </c>
      <c r="C697" t="s">
        <v>3327</v>
      </c>
      <c r="D697">
        <v>-118</v>
      </c>
      <c r="F697">
        <v>19.13</v>
      </c>
      <c r="G697" t="s">
        <v>3327</v>
      </c>
    </row>
    <row r="698" spans="1:7">
      <c r="A698">
        <v>660</v>
      </c>
      <c r="B698" t="s">
        <v>3438</v>
      </c>
      <c r="C698" t="s">
        <v>3327</v>
      </c>
      <c r="D698">
        <v>-119</v>
      </c>
      <c r="F698">
        <v>19.13</v>
      </c>
      <c r="G698" t="s">
        <v>3327</v>
      </c>
    </row>
    <row r="699" spans="1:7">
      <c r="A699">
        <v>661</v>
      </c>
      <c r="B699" t="s">
        <v>3438</v>
      </c>
      <c r="C699" t="s">
        <v>3327</v>
      </c>
      <c r="D699">
        <v>-120</v>
      </c>
      <c r="F699">
        <v>27.6</v>
      </c>
      <c r="G699" t="s">
        <v>3327</v>
      </c>
    </row>
    <row r="700" spans="1:7">
      <c r="A700">
        <v>662</v>
      </c>
      <c r="B700" t="s">
        <v>3439</v>
      </c>
      <c r="C700" t="s">
        <v>3327</v>
      </c>
      <c r="D700">
        <v>-201</v>
      </c>
      <c r="F700">
        <v>12.48</v>
      </c>
      <c r="G700" t="s">
        <v>3327</v>
      </c>
    </row>
    <row r="701" spans="1:7">
      <c r="A701">
        <v>663</v>
      </c>
      <c r="B701" t="s">
        <v>3438</v>
      </c>
      <c r="C701">
        <v>1</v>
      </c>
      <c r="D701">
        <v>201</v>
      </c>
      <c r="F701">
        <v>192.37</v>
      </c>
      <c r="G701" t="s">
        <v>3403</v>
      </c>
    </row>
    <row r="702" spans="1:7">
      <c r="A702">
        <v>664</v>
      </c>
      <c r="B702" t="s">
        <v>3439</v>
      </c>
      <c r="C702" t="s">
        <v>3327</v>
      </c>
      <c r="D702">
        <v>-202</v>
      </c>
      <c r="F702">
        <v>16.39</v>
      </c>
      <c r="G702" t="s">
        <v>3327</v>
      </c>
    </row>
    <row r="703" spans="1:7">
      <c r="A703">
        <v>665</v>
      </c>
      <c r="B703" t="s">
        <v>3438</v>
      </c>
      <c r="C703">
        <v>1</v>
      </c>
      <c r="D703">
        <v>202</v>
      </c>
      <c r="F703">
        <v>184.32</v>
      </c>
      <c r="G703" t="s">
        <v>3403</v>
      </c>
    </row>
    <row r="704" spans="1:7">
      <c r="A704">
        <v>666</v>
      </c>
      <c r="B704" t="s">
        <v>3439</v>
      </c>
      <c r="C704" t="s">
        <v>3327</v>
      </c>
      <c r="D704">
        <v>-203</v>
      </c>
      <c r="F704">
        <v>12.42</v>
      </c>
      <c r="G704" t="s">
        <v>3327</v>
      </c>
    </row>
    <row r="705" spans="1:7">
      <c r="A705">
        <v>667</v>
      </c>
      <c r="B705" t="s">
        <v>3439</v>
      </c>
      <c r="C705" t="s">
        <v>3327</v>
      </c>
      <c r="D705">
        <v>-205</v>
      </c>
      <c r="F705">
        <v>16.39</v>
      </c>
      <c r="G705" t="s">
        <v>3327</v>
      </c>
    </row>
    <row r="706" spans="1:7">
      <c r="A706">
        <v>668</v>
      </c>
      <c r="B706" t="s">
        <v>3439</v>
      </c>
      <c r="C706" t="s">
        <v>3327</v>
      </c>
      <c r="D706">
        <v>-206</v>
      </c>
      <c r="F706">
        <v>17.059999999999999</v>
      </c>
      <c r="G706" t="s">
        <v>3327</v>
      </c>
    </row>
    <row r="707" spans="1:7">
      <c r="A707">
        <v>669</v>
      </c>
      <c r="B707" t="s">
        <v>3439</v>
      </c>
      <c r="C707">
        <v>2</v>
      </c>
      <c r="D707">
        <v>101</v>
      </c>
      <c r="F707">
        <v>168.09</v>
      </c>
      <c r="G707" t="s">
        <v>3403</v>
      </c>
    </row>
    <row r="708" spans="1:7">
      <c r="A708">
        <v>670</v>
      </c>
      <c r="B708" t="s">
        <v>3439</v>
      </c>
      <c r="C708">
        <v>2</v>
      </c>
      <c r="D708">
        <v>302</v>
      </c>
      <c r="F708">
        <v>184.5</v>
      </c>
      <c r="G708" t="s">
        <v>3403</v>
      </c>
    </row>
    <row r="709" spans="1:7">
      <c r="A709">
        <v>671</v>
      </c>
      <c r="B709" t="s">
        <v>3439</v>
      </c>
      <c r="C709">
        <v>2</v>
      </c>
      <c r="D709">
        <v>401</v>
      </c>
      <c r="F709">
        <v>184.5</v>
      </c>
      <c r="G709" t="s">
        <v>3403</v>
      </c>
    </row>
    <row r="710" spans="1:7">
      <c r="A710">
        <v>672</v>
      </c>
      <c r="B710" t="s">
        <v>3439</v>
      </c>
      <c r="C710">
        <v>2</v>
      </c>
      <c r="D710">
        <v>402</v>
      </c>
      <c r="F710">
        <v>184.5</v>
      </c>
      <c r="G710" t="s">
        <v>3403</v>
      </c>
    </row>
    <row r="711" spans="1:7">
      <c r="A711">
        <v>673</v>
      </c>
      <c r="B711" t="s">
        <v>3438</v>
      </c>
      <c r="C711">
        <v>1</v>
      </c>
      <c r="D711">
        <v>301</v>
      </c>
      <c r="F711">
        <v>192.37</v>
      </c>
      <c r="G711" t="s">
        <v>3403</v>
      </c>
    </row>
    <row r="712" spans="1:7">
      <c r="A712">
        <v>674</v>
      </c>
      <c r="B712" t="s">
        <v>3438</v>
      </c>
      <c r="C712">
        <v>1</v>
      </c>
      <c r="D712">
        <v>302</v>
      </c>
      <c r="F712">
        <v>184.32</v>
      </c>
      <c r="G712" t="s">
        <v>3403</v>
      </c>
    </row>
    <row r="713" spans="1:7">
      <c r="A713">
        <v>675</v>
      </c>
      <c r="B713" t="s">
        <v>3439</v>
      </c>
      <c r="C713">
        <v>3</v>
      </c>
      <c r="D713">
        <v>101</v>
      </c>
      <c r="F713">
        <v>168.09</v>
      </c>
      <c r="G713" t="s">
        <v>3403</v>
      </c>
    </row>
    <row r="714" spans="1:7">
      <c r="A714">
        <v>676</v>
      </c>
      <c r="B714" t="s">
        <v>3439</v>
      </c>
      <c r="C714">
        <v>3</v>
      </c>
      <c r="D714">
        <v>102</v>
      </c>
      <c r="F714">
        <v>184.96</v>
      </c>
      <c r="G714" t="s">
        <v>3403</v>
      </c>
    </row>
    <row r="715" spans="1:7">
      <c r="A715">
        <v>677</v>
      </c>
      <c r="B715" t="s">
        <v>3439</v>
      </c>
      <c r="C715">
        <v>3</v>
      </c>
      <c r="D715">
        <v>301</v>
      </c>
      <c r="F715">
        <v>184.5</v>
      </c>
      <c r="G715" t="s">
        <v>3403</v>
      </c>
    </row>
    <row r="716" spans="1:7">
      <c r="A716">
        <v>678</v>
      </c>
      <c r="B716" t="s">
        <v>3439</v>
      </c>
      <c r="C716">
        <v>3</v>
      </c>
      <c r="D716">
        <v>302</v>
      </c>
      <c r="F716">
        <v>185</v>
      </c>
      <c r="G716" t="s">
        <v>3403</v>
      </c>
    </row>
    <row r="717" spans="1:7">
      <c r="A717">
        <v>679</v>
      </c>
      <c r="B717" t="s">
        <v>3438</v>
      </c>
      <c r="C717">
        <v>1</v>
      </c>
      <c r="D717">
        <v>401</v>
      </c>
      <c r="F717">
        <v>192.37</v>
      </c>
      <c r="G717" t="s">
        <v>3403</v>
      </c>
    </row>
    <row r="718" spans="1:7">
      <c r="A718">
        <v>680</v>
      </c>
      <c r="B718" t="s">
        <v>3438</v>
      </c>
      <c r="C718">
        <v>1</v>
      </c>
      <c r="D718">
        <v>402</v>
      </c>
      <c r="F718">
        <v>184.32</v>
      </c>
      <c r="G718" t="s">
        <v>3403</v>
      </c>
    </row>
    <row r="719" spans="1:7">
      <c r="A719">
        <v>681</v>
      </c>
      <c r="B719" t="s">
        <v>3438</v>
      </c>
      <c r="C719" t="s">
        <v>3327</v>
      </c>
      <c r="D719">
        <v>-201</v>
      </c>
      <c r="F719">
        <v>15.83</v>
      </c>
      <c r="G719" t="s">
        <v>3327</v>
      </c>
    </row>
    <row r="720" spans="1:7">
      <c r="A720">
        <v>682</v>
      </c>
      <c r="B720" t="s">
        <v>3438</v>
      </c>
      <c r="C720" t="s">
        <v>3327</v>
      </c>
      <c r="D720">
        <v>-202</v>
      </c>
      <c r="F720">
        <v>18.309999999999999</v>
      </c>
      <c r="G720" t="s">
        <v>3327</v>
      </c>
    </row>
    <row r="721" spans="1:7">
      <c r="A721">
        <v>683</v>
      </c>
      <c r="B721" t="s">
        <v>3438</v>
      </c>
      <c r="C721" t="s">
        <v>3327</v>
      </c>
      <c r="D721">
        <v>-203</v>
      </c>
      <c r="F721">
        <v>16.329999999999998</v>
      </c>
      <c r="G721" t="s">
        <v>3327</v>
      </c>
    </row>
    <row r="722" spans="1:7">
      <c r="A722">
        <v>684</v>
      </c>
      <c r="B722" t="s">
        <v>3438</v>
      </c>
      <c r="C722" t="s">
        <v>3327</v>
      </c>
      <c r="D722">
        <v>-204</v>
      </c>
      <c r="F722">
        <v>12.38</v>
      </c>
      <c r="G722" t="s">
        <v>3327</v>
      </c>
    </row>
    <row r="723" spans="1:7">
      <c r="A723">
        <v>685</v>
      </c>
      <c r="B723" t="s">
        <v>3438</v>
      </c>
      <c r="C723" t="s">
        <v>3327</v>
      </c>
      <c r="D723">
        <v>-205</v>
      </c>
      <c r="F723">
        <v>17</v>
      </c>
      <c r="G723" t="s">
        <v>3327</v>
      </c>
    </row>
    <row r="724" spans="1:7">
      <c r="A724">
        <v>686</v>
      </c>
      <c r="B724" t="s">
        <v>3438</v>
      </c>
      <c r="C724">
        <v>2</v>
      </c>
      <c r="D724">
        <v>101</v>
      </c>
      <c r="F724">
        <v>161.68</v>
      </c>
      <c r="G724" t="s">
        <v>3403</v>
      </c>
    </row>
    <row r="725" spans="1:7">
      <c r="A725">
        <v>687</v>
      </c>
      <c r="B725" t="s">
        <v>3438</v>
      </c>
      <c r="C725">
        <v>2</v>
      </c>
      <c r="D725">
        <v>102</v>
      </c>
      <c r="F725">
        <v>184.78</v>
      </c>
      <c r="G725" t="s">
        <v>3403</v>
      </c>
    </row>
    <row r="726" spans="1:7">
      <c r="A726">
        <v>688</v>
      </c>
      <c r="B726" t="s">
        <v>3440</v>
      </c>
      <c r="C726" t="s">
        <v>3327</v>
      </c>
      <c r="D726">
        <v>-106</v>
      </c>
      <c r="F726">
        <v>34.1</v>
      </c>
      <c r="G726" t="s">
        <v>3327</v>
      </c>
    </row>
    <row r="727" spans="1:7">
      <c r="A727">
        <v>689</v>
      </c>
      <c r="B727" t="s">
        <v>3440</v>
      </c>
      <c r="C727" t="s">
        <v>3327</v>
      </c>
      <c r="D727">
        <v>-107</v>
      </c>
      <c r="F727">
        <v>62.51</v>
      </c>
      <c r="G727" t="s">
        <v>3327</v>
      </c>
    </row>
    <row r="728" spans="1:7">
      <c r="A728">
        <v>690</v>
      </c>
      <c r="B728" t="s">
        <v>3440</v>
      </c>
      <c r="C728" t="s">
        <v>3327</v>
      </c>
      <c r="D728">
        <v>-108</v>
      </c>
      <c r="F728">
        <v>47.4</v>
      </c>
      <c r="G728" t="s">
        <v>3327</v>
      </c>
    </row>
    <row r="729" spans="1:7">
      <c r="A729">
        <v>691</v>
      </c>
      <c r="B729" t="s">
        <v>3440</v>
      </c>
      <c r="C729" t="s">
        <v>3327</v>
      </c>
      <c r="D729">
        <v>-109</v>
      </c>
      <c r="F729">
        <v>47.4</v>
      </c>
      <c r="G729" t="s">
        <v>3327</v>
      </c>
    </row>
    <row r="730" spans="1:7">
      <c r="A730">
        <v>692</v>
      </c>
      <c r="B730" t="s">
        <v>3440</v>
      </c>
      <c r="C730" t="s">
        <v>3327</v>
      </c>
      <c r="D730">
        <v>-110</v>
      </c>
      <c r="F730">
        <v>62.51</v>
      </c>
      <c r="G730" t="s">
        <v>3327</v>
      </c>
    </row>
    <row r="731" spans="1:7">
      <c r="A731">
        <v>693</v>
      </c>
      <c r="B731" t="s">
        <v>3440</v>
      </c>
      <c r="C731">
        <v>1</v>
      </c>
      <c r="D731">
        <v>102</v>
      </c>
      <c r="F731">
        <v>210.98</v>
      </c>
      <c r="G731" t="s">
        <v>3403</v>
      </c>
    </row>
    <row r="732" spans="1:7">
      <c r="A732">
        <v>694</v>
      </c>
      <c r="B732" t="s">
        <v>3440</v>
      </c>
      <c r="C732" t="s">
        <v>3327</v>
      </c>
      <c r="D732">
        <v>-111</v>
      </c>
      <c r="F732">
        <v>34.1</v>
      </c>
      <c r="G732" t="s">
        <v>3327</v>
      </c>
    </row>
    <row r="733" spans="1:7">
      <c r="A733">
        <v>695</v>
      </c>
      <c r="B733" t="s">
        <v>3440</v>
      </c>
      <c r="C733" t="s">
        <v>3327</v>
      </c>
      <c r="D733">
        <v>-112</v>
      </c>
      <c r="F733">
        <v>34.1</v>
      </c>
      <c r="G733" t="s">
        <v>3327</v>
      </c>
    </row>
    <row r="734" spans="1:7">
      <c r="A734">
        <v>696</v>
      </c>
      <c r="B734" t="s">
        <v>3440</v>
      </c>
      <c r="C734" t="s">
        <v>3327</v>
      </c>
      <c r="D734">
        <v>-113</v>
      </c>
      <c r="F734">
        <v>62.51</v>
      </c>
      <c r="G734" t="s">
        <v>3327</v>
      </c>
    </row>
    <row r="735" spans="1:7">
      <c r="A735">
        <v>697</v>
      </c>
      <c r="B735" t="s">
        <v>3440</v>
      </c>
      <c r="C735" t="s">
        <v>3327</v>
      </c>
      <c r="D735">
        <v>-114</v>
      </c>
      <c r="F735">
        <v>47.06</v>
      </c>
      <c r="G735" t="s">
        <v>3327</v>
      </c>
    </row>
    <row r="736" spans="1:7">
      <c r="A736">
        <v>698</v>
      </c>
      <c r="B736" t="s">
        <v>3440</v>
      </c>
      <c r="C736" t="s">
        <v>3327</v>
      </c>
      <c r="D736">
        <v>-115</v>
      </c>
      <c r="F736">
        <v>47.06</v>
      </c>
      <c r="G736" t="s">
        <v>3327</v>
      </c>
    </row>
    <row r="737" spans="1:7">
      <c r="A737">
        <v>699</v>
      </c>
      <c r="B737" t="s">
        <v>3440</v>
      </c>
      <c r="C737" t="s">
        <v>3327</v>
      </c>
      <c r="D737">
        <v>-116</v>
      </c>
      <c r="F737">
        <v>62.51</v>
      </c>
      <c r="G737" t="s">
        <v>3327</v>
      </c>
    </row>
    <row r="738" spans="1:7">
      <c r="A738">
        <v>700</v>
      </c>
      <c r="B738" t="s">
        <v>3440</v>
      </c>
      <c r="C738" t="s">
        <v>3327</v>
      </c>
      <c r="D738">
        <v>-117</v>
      </c>
      <c r="F738">
        <v>34.1</v>
      </c>
      <c r="G738" t="s">
        <v>3327</v>
      </c>
    </row>
    <row r="739" spans="1:7">
      <c r="A739">
        <v>701</v>
      </c>
      <c r="B739" t="s">
        <v>3440</v>
      </c>
      <c r="C739" t="s">
        <v>3327</v>
      </c>
      <c r="D739">
        <v>-118</v>
      </c>
      <c r="F739">
        <v>34.1</v>
      </c>
      <c r="G739" t="s">
        <v>3327</v>
      </c>
    </row>
    <row r="740" spans="1:7">
      <c r="A740">
        <v>702</v>
      </c>
      <c r="B740" t="s">
        <v>3440</v>
      </c>
      <c r="C740" t="s">
        <v>3327</v>
      </c>
      <c r="D740">
        <v>-119</v>
      </c>
      <c r="F740">
        <v>62.51</v>
      </c>
      <c r="G740" t="s">
        <v>3327</v>
      </c>
    </row>
    <row r="741" spans="1:7">
      <c r="A741">
        <v>703</v>
      </c>
      <c r="B741" t="s">
        <v>3440</v>
      </c>
      <c r="C741" t="s">
        <v>3327</v>
      </c>
      <c r="D741">
        <v>-120</v>
      </c>
      <c r="F741">
        <v>55.87</v>
      </c>
      <c r="G741" t="s">
        <v>3327</v>
      </c>
    </row>
    <row r="742" spans="1:7">
      <c r="A742">
        <v>704</v>
      </c>
      <c r="B742" t="s">
        <v>3440</v>
      </c>
      <c r="C742">
        <v>1</v>
      </c>
      <c r="D742">
        <v>201</v>
      </c>
      <c r="F742">
        <v>230.89</v>
      </c>
      <c r="G742" t="s">
        <v>3403</v>
      </c>
    </row>
    <row r="743" spans="1:7">
      <c r="A743">
        <v>705</v>
      </c>
      <c r="B743" t="s">
        <v>3440</v>
      </c>
      <c r="C743">
        <v>1</v>
      </c>
      <c r="D743">
        <v>202</v>
      </c>
      <c r="F743">
        <v>221.84</v>
      </c>
      <c r="G743" t="s">
        <v>3403</v>
      </c>
    </row>
    <row r="744" spans="1:7">
      <c r="A744">
        <v>706</v>
      </c>
      <c r="B744" t="s">
        <v>3440</v>
      </c>
      <c r="C744" t="s">
        <v>3327</v>
      </c>
      <c r="D744">
        <v>-121</v>
      </c>
      <c r="F744">
        <v>28.64</v>
      </c>
      <c r="G744" t="s">
        <v>3327</v>
      </c>
    </row>
    <row r="745" spans="1:7">
      <c r="A745">
        <v>707</v>
      </c>
      <c r="B745" t="s">
        <v>3440</v>
      </c>
      <c r="C745" t="s">
        <v>3327</v>
      </c>
      <c r="D745">
        <v>-122</v>
      </c>
      <c r="F745">
        <v>22.65</v>
      </c>
      <c r="G745" t="s">
        <v>3327</v>
      </c>
    </row>
    <row r="746" spans="1:7">
      <c r="A746">
        <v>708</v>
      </c>
      <c r="B746" t="s">
        <v>3440</v>
      </c>
      <c r="C746" t="s">
        <v>3327</v>
      </c>
      <c r="D746">
        <v>-123</v>
      </c>
      <c r="F746">
        <v>28.58</v>
      </c>
      <c r="G746" t="s">
        <v>3327</v>
      </c>
    </row>
    <row r="747" spans="1:7">
      <c r="A747">
        <v>709</v>
      </c>
      <c r="B747" t="s">
        <v>3440</v>
      </c>
      <c r="C747" t="s">
        <v>3327</v>
      </c>
      <c r="D747">
        <v>-124</v>
      </c>
      <c r="F747">
        <v>28.58</v>
      </c>
      <c r="G747" t="s">
        <v>3327</v>
      </c>
    </row>
    <row r="748" spans="1:7">
      <c r="A748">
        <v>710</v>
      </c>
      <c r="B748" t="s">
        <v>3440</v>
      </c>
      <c r="C748" t="s">
        <v>3327</v>
      </c>
      <c r="D748">
        <v>-125</v>
      </c>
      <c r="F748">
        <v>22.34</v>
      </c>
      <c r="G748" t="s">
        <v>3327</v>
      </c>
    </row>
    <row r="749" spans="1:7">
      <c r="A749">
        <v>711</v>
      </c>
      <c r="B749" t="s">
        <v>3440</v>
      </c>
      <c r="C749" t="s">
        <v>3327</v>
      </c>
      <c r="D749">
        <v>-126</v>
      </c>
      <c r="F749">
        <v>43.21</v>
      </c>
      <c r="G749" t="s">
        <v>3327</v>
      </c>
    </row>
    <row r="750" spans="1:7">
      <c r="A750">
        <v>712</v>
      </c>
      <c r="B750" t="s">
        <v>3440</v>
      </c>
      <c r="C750" t="s">
        <v>3327</v>
      </c>
      <c r="D750">
        <v>-127</v>
      </c>
      <c r="F750">
        <v>43.12</v>
      </c>
      <c r="G750" t="s">
        <v>3327</v>
      </c>
    </row>
    <row r="751" spans="1:7">
      <c r="A751">
        <v>713</v>
      </c>
      <c r="B751" t="s">
        <v>3440</v>
      </c>
      <c r="C751">
        <v>1</v>
      </c>
      <c r="D751">
        <v>301</v>
      </c>
      <c r="F751">
        <v>230.89</v>
      </c>
      <c r="G751" t="s">
        <v>3403</v>
      </c>
    </row>
    <row r="752" spans="1:7">
      <c r="A752">
        <v>714</v>
      </c>
      <c r="B752" t="s">
        <v>3440</v>
      </c>
      <c r="C752">
        <v>1</v>
      </c>
      <c r="D752">
        <v>302</v>
      </c>
      <c r="F752">
        <v>221.84</v>
      </c>
      <c r="G752" t="s">
        <v>3403</v>
      </c>
    </row>
    <row r="753" spans="1:7">
      <c r="A753">
        <v>715</v>
      </c>
      <c r="B753" t="s">
        <v>3440</v>
      </c>
      <c r="C753">
        <v>1</v>
      </c>
      <c r="D753">
        <v>401</v>
      </c>
      <c r="F753">
        <v>230.89</v>
      </c>
      <c r="G753" t="s">
        <v>3403</v>
      </c>
    </row>
    <row r="754" spans="1:7">
      <c r="A754">
        <v>716</v>
      </c>
      <c r="B754" t="s">
        <v>3440</v>
      </c>
      <c r="C754">
        <v>1</v>
      </c>
      <c r="D754">
        <v>402</v>
      </c>
      <c r="F754">
        <v>221.84</v>
      </c>
      <c r="G754" t="s">
        <v>3403</v>
      </c>
    </row>
    <row r="755" spans="1:7">
      <c r="A755">
        <v>717</v>
      </c>
      <c r="B755" t="s">
        <v>3438</v>
      </c>
      <c r="C755">
        <v>2</v>
      </c>
      <c r="D755">
        <v>201</v>
      </c>
      <c r="F755">
        <v>184.32</v>
      </c>
      <c r="G755" t="s">
        <v>3403</v>
      </c>
    </row>
    <row r="756" spans="1:7">
      <c r="A756">
        <v>718</v>
      </c>
      <c r="B756" t="s">
        <v>3440</v>
      </c>
      <c r="C756" t="s">
        <v>3327</v>
      </c>
      <c r="D756">
        <v>-202</v>
      </c>
      <c r="F756">
        <v>19.97</v>
      </c>
      <c r="G756" t="s">
        <v>3327</v>
      </c>
    </row>
    <row r="757" spans="1:7">
      <c r="A757">
        <v>719</v>
      </c>
      <c r="B757" t="s">
        <v>3438</v>
      </c>
      <c r="C757">
        <v>2</v>
      </c>
      <c r="D757">
        <v>202</v>
      </c>
      <c r="F757">
        <v>184.82</v>
      </c>
      <c r="G757" t="s">
        <v>3403</v>
      </c>
    </row>
    <row r="758" spans="1:7">
      <c r="A758">
        <v>720</v>
      </c>
      <c r="B758" t="s">
        <v>3440</v>
      </c>
      <c r="C758" t="s">
        <v>3327</v>
      </c>
      <c r="D758">
        <v>-203</v>
      </c>
      <c r="F758">
        <v>19.97</v>
      </c>
      <c r="G758" t="s">
        <v>3327</v>
      </c>
    </row>
    <row r="759" spans="1:7">
      <c r="A759">
        <v>721</v>
      </c>
      <c r="B759" t="s">
        <v>3440</v>
      </c>
      <c r="C759" t="s">
        <v>3327</v>
      </c>
      <c r="D759">
        <v>-204</v>
      </c>
      <c r="F759">
        <v>19.97</v>
      </c>
      <c r="G759" t="s">
        <v>3327</v>
      </c>
    </row>
    <row r="760" spans="1:7">
      <c r="A760">
        <v>722</v>
      </c>
      <c r="B760" t="s">
        <v>3440</v>
      </c>
      <c r="C760" t="s">
        <v>3327</v>
      </c>
      <c r="D760">
        <v>-205</v>
      </c>
      <c r="F760">
        <v>19.97</v>
      </c>
      <c r="G760" t="s">
        <v>3327</v>
      </c>
    </row>
    <row r="761" spans="1:7">
      <c r="A761">
        <v>723</v>
      </c>
      <c r="B761" t="s">
        <v>3440</v>
      </c>
      <c r="C761" t="s">
        <v>3327</v>
      </c>
      <c r="D761">
        <v>-206</v>
      </c>
      <c r="F761">
        <v>19.97</v>
      </c>
      <c r="G761" t="s">
        <v>3327</v>
      </c>
    </row>
    <row r="762" spans="1:7">
      <c r="A762">
        <v>724</v>
      </c>
      <c r="B762" t="s">
        <v>3440</v>
      </c>
      <c r="C762">
        <v>2</v>
      </c>
      <c r="D762">
        <v>101</v>
      </c>
      <c r="F762">
        <v>210.98</v>
      </c>
      <c r="G762" t="s">
        <v>3403</v>
      </c>
    </row>
    <row r="763" spans="1:7">
      <c r="A763">
        <v>725</v>
      </c>
      <c r="B763" t="s">
        <v>3440</v>
      </c>
      <c r="C763">
        <v>2</v>
      </c>
      <c r="D763">
        <v>102</v>
      </c>
      <c r="F763">
        <v>210.98</v>
      </c>
      <c r="G763" t="s">
        <v>3403</v>
      </c>
    </row>
    <row r="764" spans="1:7">
      <c r="A764">
        <v>726</v>
      </c>
      <c r="B764" t="s">
        <v>3440</v>
      </c>
      <c r="C764">
        <v>2</v>
      </c>
      <c r="D764">
        <v>201</v>
      </c>
      <c r="F764">
        <v>221.84</v>
      </c>
      <c r="G764" t="s">
        <v>3403</v>
      </c>
    </row>
    <row r="765" spans="1:7">
      <c r="A765">
        <v>727</v>
      </c>
      <c r="B765" t="s">
        <v>3440</v>
      </c>
      <c r="C765">
        <v>2</v>
      </c>
      <c r="D765">
        <v>202</v>
      </c>
      <c r="F765">
        <v>221.84</v>
      </c>
      <c r="G765" t="s">
        <v>3403</v>
      </c>
    </row>
    <row r="766" spans="1:7">
      <c r="A766">
        <v>728</v>
      </c>
      <c r="B766" t="s">
        <v>3440</v>
      </c>
      <c r="C766">
        <v>2</v>
      </c>
      <c r="D766">
        <v>301</v>
      </c>
      <c r="F766">
        <v>221.84</v>
      </c>
      <c r="G766" t="s">
        <v>3403</v>
      </c>
    </row>
    <row r="767" spans="1:7">
      <c r="A767">
        <v>729</v>
      </c>
      <c r="B767" t="s">
        <v>3440</v>
      </c>
      <c r="C767">
        <v>2</v>
      </c>
      <c r="D767">
        <v>302</v>
      </c>
      <c r="F767">
        <v>221.84</v>
      </c>
      <c r="G767" t="s">
        <v>3403</v>
      </c>
    </row>
    <row r="768" spans="1:7">
      <c r="A768">
        <v>730</v>
      </c>
      <c r="B768" t="s">
        <v>3440</v>
      </c>
      <c r="C768">
        <v>2</v>
      </c>
      <c r="D768">
        <v>401</v>
      </c>
      <c r="F768">
        <v>221.84</v>
      </c>
      <c r="G768" t="s">
        <v>3403</v>
      </c>
    </row>
    <row r="769" spans="1:7">
      <c r="A769">
        <v>731</v>
      </c>
      <c r="B769" t="s">
        <v>3440</v>
      </c>
      <c r="C769">
        <v>2</v>
      </c>
      <c r="D769">
        <v>402</v>
      </c>
      <c r="F769">
        <v>221.84</v>
      </c>
      <c r="G769" t="s">
        <v>3403</v>
      </c>
    </row>
    <row r="770" spans="1:7">
      <c r="A770">
        <v>732</v>
      </c>
      <c r="B770" t="s">
        <v>3438</v>
      </c>
      <c r="C770">
        <v>2</v>
      </c>
      <c r="D770">
        <v>301</v>
      </c>
      <c r="F770">
        <v>184.32</v>
      </c>
      <c r="G770" t="s">
        <v>3403</v>
      </c>
    </row>
    <row r="771" spans="1:7">
      <c r="A771">
        <v>733</v>
      </c>
      <c r="B771" t="s">
        <v>3438</v>
      </c>
      <c r="C771">
        <v>2</v>
      </c>
      <c r="D771">
        <v>302</v>
      </c>
      <c r="F771">
        <v>184.82</v>
      </c>
      <c r="G771" t="s">
        <v>3403</v>
      </c>
    </row>
    <row r="772" spans="1:7">
      <c r="A772">
        <v>734</v>
      </c>
      <c r="B772" t="s">
        <v>3440</v>
      </c>
      <c r="C772">
        <v>3</v>
      </c>
      <c r="D772">
        <v>101</v>
      </c>
      <c r="F772">
        <v>210.98</v>
      </c>
      <c r="G772" t="s">
        <v>3403</v>
      </c>
    </row>
    <row r="773" spans="1:7">
      <c r="A773">
        <v>735</v>
      </c>
      <c r="B773" t="s">
        <v>3440</v>
      </c>
      <c r="C773">
        <v>3</v>
      </c>
      <c r="D773">
        <v>102</v>
      </c>
      <c r="F773">
        <v>212.29</v>
      </c>
      <c r="G773" t="s">
        <v>3403</v>
      </c>
    </row>
    <row r="774" spans="1:7">
      <c r="A774">
        <v>736</v>
      </c>
      <c r="B774" t="s">
        <v>3440</v>
      </c>
      <c r="C774">
        <v>3</v>
      </c>
      <c r="D774">
        <v>201</v>
      </c>
      <c r="F774">
        <v>221.84</v>
      </c>
      <c r="G774" t="s">
        <v>3403</v>
      </c>
    </row>
    <row r="775" spans="1:7">
      <c r="A775">
        <v>737</v>
      </c>
      <c r="B775" t="s">
        <v>3440</v>
      </c>
      <c r="C775">
        <v>3</v>
      </c>
      <c r="D775">
        <v>202</v>
      </c>
      <c r="F775">
        <v>223.15</v>
      </c>
      <c r="G775" t="s">
        <v>3403</v>
      </c>
    </row>
    <row r="776" spans="1:7">
      <c r="A776">
        <v>738</v>
      </c>
      <c r="B776" t="s">
        <v>3440</v>
      </c>
      <c r="C776">
        <v>3</v>
      </c>
      <c r="D776">
        <v>301</v>
      </c>
      <c r="F776">
        <v>221.84</v>
      </c>
      <c r="G776" t="s">
        <v>3403</v>
      </c>
    </row>
    <row r="777" spans="1:7">
      <c r="A777">
        <v>739</v>
      </c>
      <c r="B777" t="s">
        <v>3440</v>
      </c>
      <c r="C777">
        <v>3</v>
      </c>
      <c r="D777">
        <v>302</v>
      </c>
      <c r="F777">
        <v>223.15</v>
      </c>
      <c r="G777" t="s">
        <v>3403</v>
      </c>
    </row>
    <row r="778" spans="1:7">
      <c r="A778">
        <v>740</v>
      </c>
      <c r="B778" t="s">
        <v>3440</v>
      </c>
      <c r="C778">
        <v>3</v>
      </c>
      <c r="D778">
        <v>401</v>
      </c>
      <c r="F778">
        <v>221.84</v>
      </c>
      <c r="G778" t="s">
        <v>3403</v>
      </c>
    </row>
    <row r="779" spans="1:7">
      <c r="A779">
        <v>741</v>
      </c>
      <c r="B779" t="s">
        <v>3440</v>
      </c>
      <c r="C779">
        <v>3</v>
      </c>
      <c r="D779">
        <v>402</v>
      </c>
      <c r="F779">
        <v>223.15</v>
      </c>
      <c r="G779" t="s">
        <v>3403</v>
      </c>
    </row>
    <row r="780" spans="1:7">
      <c r="A780">
        <v>742</v>
      </c>
      <c r="B780" t="s">
        <v>3438</v>
      </c>
      <c r="C780">
        <v>2</v>
      </c>
      <c r="D780">
        <v>401</v>
      </c>
      <c r="F780">
        <v>184.32</v>
      </c>
      <c r="G780" t="s">
        <v>3403</v>
      </c>
    </row>
    <row r="781" spans="1:7">
      <c r="A781">
        <v>743</v>
      </c>
      <c r="B781" t="s">
        <v>3438</v>
      </c>
      <c r="C781">
        <v>2</v>
      </c>
      <c r="D781">
        <v>402</v>
      </c>
      <c r="F781">
        <v>184.82</v>
      </c>
      <c r="G781" t="s">
        <v>3403</v>
      </c>
    </row>
    <row r="782" spans="1:7">
      <c r="A782">
        <v>744</v>
      </c>
      <c r="B782" t="s">
        <v>3441</v>
      </c>
      <c r="C782" t="s">
        <v>3327</v>
      </c>
      <c r="D782">
        <v>-101</v>
      </c>
      <c r="F782">
        <v>15.1</v>
      </c>
      <c r="G782" t="s">
        <v>3327</v>
      </c>
    </row>
    <row r="783" spans="1:7">
      <c r="A783">
        <v>745</v>
      </c>
      <c r="B783" t="s">
        <v>3441</v>
      </c>
      <c r="C783" t="s">
        <v>3327</v>
      </c>
      <c r="D783">
        <v>-102</v>
      </c>
      <c r="F783">
        <v>42.4</v>
      </c>
      <c r="G783" t="s">
        <v>3327</v>
      </c>
    </row>
    <row r="784" spans="1:7">
      <c r="A784">
        <v>746</v>
      </c>
      <c r="B784" t="s">
        <v>3441</v>
      </c>
      <c r="C784" t="s">
        <v>3327</v>
      </c>
      <c r="D784">
        <v>-103</v>
      </c>
      <c r="F784">
        <v>47.18</v>
      </c>
      <c r="G784" t="s">
        <v>3327</v>
      </c>
    </row>
    <row r="785" spans="1:7">
      <c r="A785">
        <v>747</v>
      </c>
      <c r="B785" t="s">
        <v>3441</v>
      </c>
      <c r="C785" t="s">
        <v>3327</v>
      </c>
      <c r="D785">
        <v>-104</v>
      </c>
      <c r="F785">
        <v>62.35</v>
      </c>
      <c r="G785" t="s">
        <v>3327</v>
      </c>
    </row>
    <row r="786" spans="1:7">
      <c r="A786">
        <v>748</v>
      </c>
      <c r="B786" t="s">
        <v>3441</v>
      </c>
      <c r="C786" t="s">
        <v>3327</v>
      </c>
      <c r="D786">
        <v>-105</v>
      </c>
      <c r="F786">
        <v>61.39</v>
      </c>
      <c r="G786" t="s">
        <v>3327</v>
      </c>
    </row>
    <row r="787" spans="1:7">
      <c r="A787">
        <v>749</v>
      </c>
      <c r="B787" t="s">
        <v>3441</v>
      </c>
      <c r="C787" t="s">
        <v>3327</v>
      </c>
      <c r="D787">
        <v>-106</v>
      </c>
      <c r="F787">
        <v>61.39</v>
      </c>
      <c r="G787" t="s">
        <v>3327</v>
      </c>
    </row>
    <row r="788" spans="1:7">
      <c r="A788">
        <v>750</v>
      </c>
      <c r="B788" t="s">
        <v>3441</v>
      </c>
      <c r="C788" t="s">
        <v>3327</v>
      </c>
      <c r="D788">
        <v>-107</v>
      </c>
      <c r="F788">
        <v>62.35</v>
      </c>
      <c r="G788" t="s">
        <v>3327</v>
      </c>
    </row>
    <row r="789" spans="1:7">
      <c r="A789">
        <v>751</v>
      </c>
      <c r="B789" t="s">
        <v>3441</v>
      </c>
      <c r="C789" t="s">
        <v>3327</v>
      </c>
      <c r="D789">
        <v>-108</v>
      </c>
      <c r="F789">
        <v>47.18</v>
      </c>
      <c r="G789" t="s">
        <v>3327</v>
      </c>
    </row>
    <row r="790" spans="1:7">
      <c r="A790">
        <v>752</v>
      </c>
      <c r="B790" t="s">
        <v>3441</v>
      </c>
      <c r="C790" t="s">
        <v>3327</v>
      </c>
      <c r="D790">
        <v>-109</v>
      </c>
      <c r="F790">
        <v>42.77</v>
      </c>
      <c r="G790" t="s">
        <v>3327</v>
      </c>
    </row>
    <row r="791" spans="1:7">
      <c r="A791">
        <v>753</v>
      </c>
      <c r="B791" t="s">
        <v>3441</v>
      </c>
      <c r="C791" t="s">
        <v>3327</v>
      </c>
      <c r="D791">
        <v>-110</v>
      </c>
      <c r="F791">
        <v>42.77</v>
      </c>
      <c r="G791" t="s">
        <v>3327</v>
      </c>
    </row>
    <row r="792" spans="1:7">
      <c r="A792">
        <v>754</v>
      </c>
      <c r="B792" t="s">
        <v>3441</v>
      </c>
      <c r="C792">
        <v>1</v>
      </c>
      <c r="D792">
        <v>101</v>
      </c>
      <c r="F792">
        <v>272.99</v>
      </c>
      <c r="G792" t="s">
        <v>3403</v>
      </c>
    </row>
    <row r="793" spans="1:7">
      <c r="A793">
        <v>755</v>
      </c>
      <c r="B793" t="s">
        <v>3441</v>
      </c>
      <c r="C793">
        <v>1</v>
      </c>
      <c r="D793">
        <v>102</v>
      </c>
      <c r="F793">
        <v>271.81</v>
      </c>
      <c r="G793" t="s">
        <v>3403</v>
      </c>
    </row>
    <row r="794" spans="1:7">
      <c r="A794">
        <v>756</v>
      </c>
      <c r="B794" t="s">
        <v>3441</v>
      </c>
      <c r="C794" t="s">
        <v>3327</v>
      </c>
      <c r="D794">
        <v>-111</v>
      </c>
      <c r="F794">
        <v>47.18</v>
      </c>
      <c r="G794" t="s">
        <v>3327</v>
      </c>
    </row>
    <row r="795" spans="1:7">
      <c r="A795">
        <v>757</v>
      </c>
      <c r="B795" t="s">
        <v>3441</v>
      </c>
      <c r="C795" t="s">
        <v>3327</v>
      </c>
      <c r="D795">
        <v>-112</v>
      </c>
      <c r="F795">
        <v>62.35</v>
      </c>
      <c r="G795" t="s">
        <v>3327</v>
      </c>
    </row>
    <row r="796" spans="1:7">
      <c r="A796">
        <v>758</v>
      </c>
      <c r="B796" t="s">
        <v>3441</v>
      </c>
      <c r="C796" t="s">
        <v>3327</v>
      </c>
      <c r="D796">
        <v>-113</v>
      </c>
      <c r="F796">
        <v>61.39</v>
      </c>
      <c r="G796" t="s">
        <v>3327</v>
      </c>
    </row>
    <row r="797" spans="1:7">
      <c r="A797">
        <v>759</v>
      </c>
      <c r="B797" t="s">
        <v>3441</v>
      </c>
      <c r="C797" t="s">
        <v>3327</v>
      </c>
      <c r="D797">
        <v>-114</v>
      </c>
      <c r="F797">
        <v>61.39</v>
      </c>
      <c r="G797" t="s">
        <v>3327</v>
      </c>
    </row>
    <row r="798" spans="1:7">
      <c r="A798">
        <v>760</v>
      </c>
      <c r="B798" t="s">
        <v>3441</v>
      </c>
      <c r="C798" t="s">
        <v>3327</v>
      </c>
      <c r="D798">
        <v>-115</v>
      </c>
      <c r="F798">
        <v>62.35</v>
      </c>
      <c r="G798" t="s">
        <v>3327</v>
      </c>
    </row>
    <row r="799" spans="1:7">
      <c r="A799">
        <v>761</v>
      </c>
      <c r="B799" t="s">
        <v>3441</v>
      </c>
      <c r="C799" t="s">
        <v>3327</v>
      </c>
      <c r="D799">
        <v>-116</v>
      </c>
      <c r="F799">
        <v>47.18</v>
      </c>
      <c r="G799" t="s">
        <v>3327</v>
      </c>
    </row>
    <row r="800" spans="1:7">
      <c r="A800">
        <v>762</v>
      </c>
      <c r="B800" t="s">
        <v>3441</v>
      </c>
      <c r="C800" t="s">
        <v>3327</v>
      </c>
      <c r="D800">
        <v>-117</v>
      </c>
      <c r="F800">
        <v>54.43</v>
      </c>
      <c r="G800" t="s">
        <v>3327</v>
      </c>
    </row>
    <row r="801" spans="1:7">
      <c r="A801">
        <v>763</v>
      </c>
      <c r="B801" t="s">
        <v>3441</v>
      </c>
      <c r="C801" t="s">
        <v>3327</v>
      </c>
      <c r="D801">
        <v>-118</v>
      </c>
      <c r="F801">
        <v>15.15</v>
      </c>
      <c r="G801" t="s">
        <v>3327</v>
      </c>
    </row>
    <row r="802" spans="1:7">
      <c r="A802">
        <v>764</v>
      </c>
      <c r="B802" t="s">
        <v>3441</v>
      </c>
      <c r="C802" t="s">
        <v>3327</v>
      </c>
      <c r="D802">
        <v>-119</v>
      </c>
      <c r="F802">
        <v>14.91</v>
      </c>
      <c r="G802" t="s">
        <v>3327</v>
      </c>
    </row>
    <row r="803" spans="1:7">
      <c r="A803">
        <v>765</v>
      </c>
      <c r="B803" t="s">
        <v>3441</v>
      </c>
      <c r="C803" t="s">
        <v>3327</v>
      </c>
      <c r="D803">
        <v>-120</v>
      </c>
      <c r="F803">
        <v>14.91</v>
      </c>
      <c r="G803" t="s">
        <v>3327</v>
      </c>
    </row>
    <row r="804" spans="1:7">
      <c r="A804">
        <v>766</v>
      </c>
      <c r="B804" t="s">
        <v>3441</v>
      </c>
      <c r="C804">
        <v>1</v>
      </c>
      <c r="D804">
        <v>201</v>
      </c>
      <c r="F804">
        <v>273.05</v>
      </c>
      <c r="G804" t="s">
        <v>3403</v>
      </c>
    </row>
    <row r="805" spans="1:7">
      <c r="A805">
        <v>767</v>
      </c>
      <c r="B805" t="s">
        <v>3441</v>
      </c>
      <c r="C805">
        <v>1</v>
      </c>
      <c r="D805">
        <v>202</v>
      </c>
      <c r="F805">
        <v>271.88</v>
      </c>
      <c r="G805" t="s">
        <v>3403</v>
      </c>
    </row>
    <row r="806" spans="1:7">
      <c r="A806">
        <v>768</v>
      </c>
      <c r="B806" t="s">
        <v>3441</v>
      </c>
      <c r="C806">
        <v>1</v>
      </c>
      <c r="D806">
        <v>301</v>
      </c>
      <c r="F806">
        <v>273.05</v>
      </c>
      <c r="G806" t="s">
        <v>3403</v>
      </c>
    </row>
    <row r="807" spans="1:7">
      <c r="A807">
        <v>769</v>
      </c>
      <c r="B807" t="s">
        <v>3441</v>
      </c>
      <c r="C807">
        <v>1</v>
      </c>
      <c r="D807">
        <v>302</v>
      </c>
      <c r="F807">
        <v>271.88</v>
      </c>
      <c r="G807" t="s">
        <v>3403</v>
      </c>
    </row>
    <row r="808" spans="1:7">
      <c r="A808">
        <v>770</v>
      </c>
      <c r="B808" t="s">
        <v>3441</v>
      </c>
      <c r="C808">
        <v>1</v>
      </c>
      <c r="D808">
        <v>401</v>
      </c>
      <c r="F808">
        <v>273.05</v>
      </c>
      <c r="G808" t="s">
        <v>3403</v>
      </c>
    </row>
    <row r="809" spans="1:7">
      <c r="A809">
        <v>771</v>
      </c>
      <c r="B809" t="s">
        <v>3441</v>
      </c>
      <c r="C809">
        <v>1</v>
      </c>
      <c r="D809">
        <v>402</v>
      </c>
      <c r="F809">
        <v>271.88</v>
      </c>
      <c r="G809" t="s">
        <v>3403</v>
      </c>
    </row>
    <row r="810" spans="1:7">
      <c r="A810">
        <v>772</v>
      </c>
      <c r="B810" t="s">
        <v>3441</v>
      </c>
      <c r="C810" t="s">
        <v>3327</v>
      </c>
      <c r="D810">
        <v>-201</v>
      </c>
      <c r="F810">
        <v>22.9</v>
      </c>
      <c r="G810" t="s">
        <v>3327</v>
      </c>
    </row>
    <row r="811" spans="1:7">
      <c r="A811">
        <v>773</v>
      </c>
      <c r="B811" t="s">
        <v>3441</v>
      </c>
      <c r="C811" t="s">
        <v>3327</v>
      </c>
      <c r="D811">
        <v>-202</v>
      </c>
      <c r="F811">
        <v>22.9</v>
      </c>
      <c r="G811" t="s">
        <v>3327</v>
      </c>
    </row>
    <row r="812" spans="1:7">
      <c r="A812">
        <v>774</v>
      </c>
      <c r="B812" t="s">
        <v>3441</v>
      </c>
      <c r="C812" t="s">
        <v>3327</v>
      </c>
      <c r="D812">
        <v>-203</v>
      </c>
      <c r="F812">
        <v>22.9</v>
      </c>
      <c r="G812" t="s">
        <v>3327</v>
      </c>
    </row>
    <row r="813" spans="1:7">
      <c r="A813">
        <v>775</v>
      </c>
      <c r="B813" t="s">
        <v>3441</v>
      </c>
      <c r="C813" t="s">
        <v>3327</v>
      </c>
      <c r="D813">
        <v>-204</v>
      </c>
      <c r="F813">
        <v>21.51</v>
      </c>
      <c r="G813" t="s">
        <v>3327</v>
      </c>
    </row>
    <row r="814" spans="1:7">
      <c r="A814">
        <v>776</v>
      </c>
      <c r="B814" t="s">
        <v>3441</v>
      </c>
      <c r="C814">
        <v>2</v>
      </c>
      <c r="D814">
        <v>101</v>
      </c>
      <c r="F814">
        <v>271.81</v>
      </c>
      <c r="G814" t="s">
        <v>3403</v>
      </c>
    </row>
    <row r="815" spans="1:7">
      <c r="A815">
        <v>777</v>
      </c>
      <c r="B815" t="s">
        <v>3441</v>
      </c>
      <c r="C815">
        <v>2</v>
      </c>
      <c r="D815">
        <v>102</v>
      </c>
      <c r="F815">
        <v>272.99</v>
      </c>
      <c r="G815" t="s">
        <v>3403</v>
      </c>
    </row>
    <row r="816" spans="1:7">
      <c r="A816">
        <v>778</v>
      </c>
      <c r="B816" t="s">
        <v>3441</v>
      </c>
      <c r="C816">
        <v>2</v>
      </c>
      <c r="D816">
        <v>201</v>
      </c>
      <c r="F816">
        <v>271.88</v>
      </c>
      <c r="G816" t="s">
        <v>3403</v>
      </c>
    </row>
    <row r="817" spans="1:7">
      <c r="A817">
        <v>779</v>
      </c>
      <c r="B817" t="s">
        <v>3441</v>
      </c>
      <c r="C817">
        <v>2</v>
      </c>
      <c r="D817">
        <v>202</v>
      </c>
      <c r="F817">
        <v>273.05</v>
      </c>
      <c r="G817" t="s">
        <v>3403</v>
      </c>
    </row>
    <row r="818" spans="1:7">
      <c r="A818">
        <v>780</v>
      </c>
      <c r="B818" t="s">
        <v>3441</v>
      </c>
      <c r="C818">
        <v>2</v>
      </c>
      <c r="D818">
        <v>301</v>
      </c>
      <c r="F818">
        <v>271.88</v>
      </c>
      <c r="G818" t="s">
        <v>3403</v>
      </c>
    </row>
    <row r="819" spans="1:7">
      <c r="A819">
        <v>781</v>
      </c>
      <c r="B819" t="s">
        <v>3441</v>
      </c>
      <c r="C819">
        <v>2</v>
      </c>
      <c r="D819">
        <v>401</v>
      </c>
      <c r="F819">
        <v>271.88</v>
      </c>
      <c r="G819" t="s">
        <v>3403</v>
      </c>
    </row>
    <row r="820" spans="1:7">
      <c r="A820">
        <v>782</v>
      </c>
      <c r="B820" t="s">
        <v>3442</v>
      </c>
      <c r="C820" t="s">
        <v>3327</v>
      </c>
      <c r="D820">
        <v>-106</v>
      </c>
      <c r="F820">
        <v>33.4</v>
      </c>
      <c r="G820" t="s">
        <v>3327</v>
      </c>
    </row>
    <row r="821" spans="1:7">
      <c r="A821">
        <v>783</v>
      </c>
      <c r="B821" t="s">
        <v>3442</v>
      </c>
      <c r="C821" t="s">
        <v>3327</v>
      </c>
      <c r="D821">
        <v>-107</v>
      </c>
      <c r="F821">
        <v>61.41</v>
      </c>
      <c r="G821" t="s">
        <v>3327</v>
      </c>
    </row>
    <row r="822" spans="1:7">
      <c r="A822">
        <v>784</v>
      </c>
      <c r="B822" t="s">
        <v>3442</v>
      </c>
      <c r="C822" t="s">
        <v>3327</v>
      </c>
      <c r="D822">
        <v>-108</v>
      </c>
      <c r="F822">
        <v>47.66</v>
      </c>
      <c r="G822" t="s">
        <v>3327</v>
      </c>
    </row>
    <row r="823" spans="1:7">
      <c r="A823">
        <v>785</v>
      </c>
      <c r="B823" t="s">
        <v>3442</v>
      </c>
      <c r="C823" t="s">
        <v>3327</v>
      </c>
      <c r="D823">
        <v>-109</v>
      </c>
      <c r="F823">
        <v>29.78</v>
      </c>
      <c r="G823" t="s">
        <v>3327</v>
      </c>
    </row>
    <row r="824" spans="1:7">
      <c r="A824">
        <v>786</v>
      </c>
      <c r="B824" t="s">
        <v>3442</v>
      </c>
      <c r="C824">
        <v>1</v>
      </c>
      <c r="D824">
        <v>102</v>
      </c>
      <c r="F824">
        <v>219.73</v>
      </c>
      <c r="G824" t="s">
        <v>3403</v>
      </c>
    </row>
    <row r="825" spans="1:7">
      <c r="A825">
        <v>787</v>
      </c>
      <c r="B825" t="s">
        <v>3442</v>
      </c>
      <c r="C825">
        <v>1</v>
      </c>
      <c r="D825">
        <v>201</v>
      </c>
      <c r="F825">
        <v>230.81</v>
      </c>
      <c r="G825" t="s">
        <v>3403</v>
      </c>
    </row>
    <row r="826" spans="1:7">
      <c r="A826">
        <v>788</v>
      </c>
      <c r="B826" t="s">
        <v>3442</v>
      </c>
      <c r="C826">
        <v>1</v>
      </c>
      <c r="D826">
        <v>202</v>
      </c>
      <c r="F826">
        <v>230.81</v>
      </c>
      <c r="G826" t="s">
        <v>3403</v>
      </c>
    </row>
    <row r="827" spans="1:7">
      <c r="A827">
        <v>789</v>
      </c>
      <c r="B827" t="s">
        <v>3442</v>
      </c>
      <c r="C827">
        <v>1</v>
      </c>
      <c r="D827">
        <v>301</v>
      </c>
      <c r="F827">
        <v>230.81</v>
      </c>
      <c r="G827" t="s">
        <v>3403</v>
      </c>
    </row>
    <row r="828" spans="1:7">
      <c r="A828">
        <v>790</v>
      </c>
      <c r="B828" t="s">
        <v>3442</v>
      </c>
      <c r="C828">
        <v>1</v>
      </c>
      <c r="D828">
        <v>302</v>
      </c>
      <c r="F828">
        <v>230.81</v>
      </c>
      <c r="G828" t="s">
        <v>3403</v>
      </c>
    </row>
    <row r="829" spans="1:7">
      <c r="A829">
        <v>791</v>
      </c>
      <c r="B829" t="s">
        <v>3442</v>
      </c>
      <c r="C829">
        <v>1</v>
      </c>
      <c r="D829">
        <v>401</v>
      </c>
      <c r="F829">
        <v>230.81</v>
      </c>
      <c r="G829" t="s">
        <v>3403</v>
      </c>
    </row>
    <row r="830" spans="1:7">
      <c r="A830">
        <v>792</v>
      </c>
      <c r="B830" t="s">
        <v>3442</v>
      </c>
      <c r="C830">
        <v>1</v>
      </c>
      <c r="D830">
        <v>402</v>
      </c>
      <c r="F830">
        <v>230.81</v>
      </c>
      <c r="G830" t="s">
        <v>3403</v>
      </c>
    </row>
    <row r="831" spans="1:7">
      <c r="A831">
        <v>793</v>
      </c>
      <c r="B831" t="s">
        <v>3442</v>
      </c>
      <c r="C831" t="s">
        <v>3327</v>
      </c>
      <c r="D831">
        <v>-202</v>
      </c>
      <c r="F831">
        <v>30.16</v>
      </c>
      <c r="G831" t="s">
        <v>3327</v>
      </c>
    </row>
    <row r="832" spans="1:7">
      <c r="A832">
        <v>794</v>
      </c>
      <c r="B832" t="s">
        <v>3442</v>
      </c>
      <c r="C832" t="s">
        <v>3327</v>
      </c>
      <c r="D832">
        <v>-203</v>
      </c>
      <c r="F832">
        <v>23.98</v>
      </c>
      <c r="G832" t="s">
        <v>3327</v>
      </c>
    </row>
    <row r="833" spans="1:7">
      <c r="A833">
        <v>795</v>
      </c>
      <c r="B833" t="s">
        <v>3442</v>
      </c>
      <c r="C833" t="s">
        <v>3327</v>
      </c>
      <c r="D833">
        <v>-204</v>
      </c>
      <c r="F833">
        <v>23.98</v>
      </c>
      <c r="G833" t="s">
        <v>3327</v>
      </c>
    </row>
    <row r="834" spans="1:7">
      <c r="A834">
        <v>796</v>
      </c>
      <c r="B834" t="s">
        <v>3442</v>
      </c>
      <c r="C834" t="s">
        <v>3327</v>
      </c>
      <c r="D834">
        <v>-205</v>
      </c>
      <c r="F834">
        <v>22.23</v>
      </c>
      <c r="G834" t="s">
        <v>3327</v>
      </c>
    </row>
    <row r="835" spans="1:7">
      <c r="A835">
        <v>797</v>
      </c>
      <c r="B835" t="s">
        <v>3443</v>
      </c>
      <c r="C835" t="s">
        <v>3327</v>
      </c>
      <c r="D835">
        <v>-106</v>
      </c>
      <c r="F835">
        <v>61.69</v>
      </c>
      <c r="G835" t="s">
        <v>3327</v>
      </c>
    </row>
    <row r="836" spans="1:7">
      <c r="A836">
        <v>798</v>
      </c>
      <c r="B836" t="s">
        <v>3443</v>
      </c>
      <c r="C836" t="s">
        <v>3327</v>
      </c>
      <c r="D836">
        <v>-107</v>
      </c>
      <c r="F836">
        <v>62.66</v>
      </c>
      <c r="G836" t="s">
        <v>3327</v>
      </c>
    </row>
    <row r="837" spans="1:7">
      <c r="A837">
        <v>799</v>
      </c>
      <c r="B837" t="s">
        <v>3443</v>
      </c>
      <c r="C837" t="s">
        <v>3327</v>
      </c>
      <c r="D837">
        <v>-108</v>
      </c>
      <c r="F837">
        <v>47.41</v>
      </c>
      <c r="G837" t="s">
        <v>3327</v>
      </c>
    </row>
    <row r="838" spans="1:7">
      <c r="A838">
        <v>800</v>
      </c>
      <c r="B838" t="s">
        <v>3443</v>
      </c>
      <c r="C838" t="s">
        <v>3327</v>
      </c>
      <c r="D838">
        <v>-109</v>
      </c>
      <c r="F838">
        <v>42.6</v>
      </c>
      <c r="G838" t="s">
        <v>3327</v>
      </c>
    </row>
    <row r="839" spans="1:7">
      <c r="A839">
        <v>801</v>
      </c>
      <c r="B839" t="s">
        <v>3443</v>
      </c>
      <c r="C839" t="s">
        <v>3327</v>
      </c>
      <c r="D839">
        <v>-110</v>
      </c>
      <c r="F839">
        <v>12.84</v>
      </c>
      <c r="G839" t="s">
        <v>3327</v>
      </c>
    </row>
    <row r="840" spans="1:7">
      <c r="A840">
        <v>802</v>
      </c>
      <c r="B840" t="s">
        <v>3443</v>
      </c>
      <c r="C840">
        <v>1</v>
      </c>
      <c r="D840">
        <v>102</v>
      </c>
      <c r="F840">
        <v>272.83</v>
      </c>
      <c r="G840" t="s">
        <v>3403</v>
      </c>
    </row>
    <row r="841" spans="1:7">
      <c r="A841">
        <v>803</v>
      </c>
      <c r="B841" t="s">
        <v>3443</v>
      </c>
      <c r="C841">
        <v>1</v>
      </c>
      <c r="D841">
        <v>201</v>
      </c>
      <c r="F841">
        <v>272.83999999999997</v>
      </c>
      <c r="G841" t="s">
        <v>3403</v>
      </c>
    </row>
    <row r="842" spans="1:7">
      <c r="A842">
        <v>804</v>
      </c>
      <c r="B842" t="s">
        <v>3443</v>
      </c>
      <c r="C842">
        <v>1</v>
      </c>
      <c r="D842">
        <v>202</v>
      </c>
      <c r="F842">
        <v>272.89</v>
      </c>
      <c r="G842" t="s">
        <v>3403</v>
      </c>
    </row>
    <row r="843" spans="1:7">
      <c r="A843">
        <v>805</v>
      </c>
      <c r="B843" t="s">
        <v>3443</v>
      </c>
      <c r="C843">
        <v>1</v>
      </c>
      <c r="D843">
        <v>301</v>
      </c>
      <c r="F843">
        <v>272.83999999999997</v>
      </c>
      <c r="G843" t="s">
        <v>3403</v>
      </c>
    </row>
    <row r="844" spans="1:7">
      <c r="A844">
        <v>806</v>
      </c>
      <c r="B844" t="s">
        <v>3443</v>
      </c>
      <c r="C844">
        <v>1</v>
      </c>
      <c r="D844">
        <v>302</v>
      </c>
      <c r="F844">
        <v>272.89</v>
      </c>
      <c r="G844" t="s">
        <v>3403</v>
      </c>
    </row>
    <row r="845" spans="1:7">
      <c r="A845">
        <v>807</v>
      </c>
      <c r="B845" t="s">
        <v>3443</v>
      </c>
      <c r="C845">
        <v>1</v>
      </c>
      <c r="D845">
        <v>402</v>
      </c>
      <c r="F845">
        <v>272.89</v>
      </c>
      <c r="G845" t="s">
        <v>3403</v>
      </c>
    </row>
    <row r="846" spans="1:7">
      <c r="A846">
        <v>808</v>
      </c>
      <c r="B846" t="s">
        <v>3443</v>
      </c>
      <c r="C846" t="s">
        <v>3327</v>
      </c>
      <c r="D846">
        <v>-202</v>
      </c>
      <c r="F846">
        <v>23.01</v>
      </c>
      <c r="G846" t="s">
        <v>3327</v>
      </c>
    </row>
    <row r="847" spans="1:7">
      <c r="A847">
        <v>809</v>
      </c>
      <c r="B847" t="s">
        <v>3444</v>
      </c>
      <c r="C847" t="s">
        <v>3327</v>
      </c>
      <c r="D847">
        <v>-101</v>
      </c>
      <c r="F847">
        <v>12.98</v>
      </c>
      <c r="G847" t="s">
        <v>3327</v>
      </c>
    </row>
    <row r="848" spans="1:7">
      <c r="A848">
        <v>810</v>
      </c>
      <c r="B848" t="s">
        <v>3444</v>
      </c>
      <c r="C848" t="s">
        <v>3327</v>
      </c>
      <c r="D848">
        <v>-102</v>
      </c>
      <c r="F848">
        <v>38.93</v>
      </c>
      <c r="G848" t="s">
        <v>3327</v>
      </c>
    </row>
    <row r="849" spans="1:7">
      <c r="A849">
        <v>811</v>
      </c>
      <c r="B849" t="s">
        <v>3444</v>
      </c>
      <c r="C849" t="s">
        <v>3327</v>
      </c>
      <c r="D849">
        <v>-103</v>
      </c>
      <c r="F849">
        <v>47.03</v>
      </c>
      <c r="G849" t="s">
        <v>3327</v>
      </c>
    </row>
    <row r="850" spans="1:7">
      <c r="A850">
        <v>812</v>
      </c>
      <c r="B850" t="s">
        <v>3444</v>
      </c>
      <c r="C850" t="s">
        <v>3327</v>
      </c>
      <c r="D850">
        <v>-104</v>
      </c>
      <c r="F850">
        <v>62.16</v>
      </c>
      <c r="G850" t="s">
        <v>3327</v>
      </c>
    </row>
    <row r="851" spans="1:7">
      <c r="A851">
        <v>813</v>
      </c>
      <c r="B851" t="s">
        <v>3444</v>
      </c>
      <c r="C851" t="s">
        <v>3327</v>
      </c>
      <c r="D851">
        <v>-105</v>
      </c>
      <c r="F851">
        <v>61.2</v>
      </c>
      <c r="G851" t="s">
        <v>3327</v>
      </c>
    </row>
    <row r="852" spans="1:7">
      <c r="A852">
        <v>814</v>
      </c>
      <c r="B852" t="s">
        <v>3444</v>
      </c>
      <c r="C852" t="s">
        <v>3327</v>
      </c>
      <c r="D852">
        <v>-106</v>
      </c>
      <c r="F852">
        <v>61.2</v>
      </c>
      <c r="G852" t="s">
        <v>3327</v>
      </c>
    </row>
    <row r="853" spans="1:7">
      <c r="A853">
        <v>815</v>
      </c>
      <c r="B853" t="s">
        <v>3444</v>
      </c>
      <c r="C853" t="s">
        <v>3327</v>
      </c>
      <c r="D853">
        <v>-107</v>
      </c>
      <c r="F853">
        <v>62.16</v>
      </c>
      <c r="G853" t="s">
        <v>3327</v>
      </c>
    </row>
    <row r="854" spans="1:7">
      <c r="A854">
        <v>816</v>
      </c>
      <c r="B854" t="s">
        <v>3444</v>
      </c>
      <c r="C854" t="s">
        <v>3327</v>
      </c>
      <c r="D854">
        <v>-108</v>
      </c>
      <c r="F854">
        <v>47.03</v>
      </c>
      <c r="G854" t="s">
        <v>3327</v>
      </c>
    </row>
    <row r="855" spans="1:7">
      <c r="A855">
        <v>817</v>
      </c>
      <c r="B855" t="s">
        <v>3444</v>
      </c>
      <c r="C855" t="s">
        <v>3327</v>
      </c>
      <c r="D855">
        <v>-109</v>
      </c>
      <c r="F855">
        <v>42.64</v>
      </c>
      <c r="G855" t="s">
        <v>3327</v>
      </c>
    </row>
    <row r="856" spans="1:7">
      <c r="A856">
        <v>818</v>
      </c>
      <c r="B856" t="s">
        <v>3444</v>
      </c>
      <c r="C856" t="s">
        <v>3327</v>
      </c>
      <c r="D856">
        <v>-110</v>
      </c>
      <c r="F856">
        <v>42.64</v>
      </c>
      <c r="G856" t="s">
        <v>3327</v>
      </c>
    </row>
    <row r="857" spans="1:7">
      <c r="A857">
        <v>819</v>
      </c>
      <c r="B857" t="s">
        <v>3444</v>
      </c>
      <c r="C857">
        <v>1</v>
      </c>
      <c r="D857">
        <v>101</v>
      </c>
      <c r="F857">
        <v>272.91000000000003</v>
      </c>
      <c r="G857" t="s">
        <v>3403</v>
      </c>
    </row>
    <row r="858" spans="1:7">
      <c r="A858">
        <v>820</v>
      </c>
      <c r="B858" t="s">
        <v>3444</v>
      </c>
      <c r="C858">
        <v>1</v>
      </c>
      <c r="D858">
        <v>102</v>
      </c>
      <c r="F858">
        <v>271.69</v>
      </c>
      <c r="G858" t="s">
        <v>3403</v>
      </c>
    </row>
    <row r="859" spans="1:7">
      <c r="A859">
        <v>821</v>
      </c>
      <c r="B859" t="s">
        <v>3444</v>
      </c>
      <c r="C859" t="s">
        <v>3327</v>
      </c>
      <c r="D859">
        <v>-111</v>
      </c>
      <c r="F859">
        <v>47.03</v>
      </c>
      <c r="G859" t="s">
        <v>3327</v>
      </c>
    </row>
    <row r="860" spans="1:7">
      <c r="A860">
        <v>822</v>
      </c>
      <c r="B860" t="s">
        <v>3444</v>
      </c>
      <c r="C860" t="s">
        <v>3327</v>
      </c>
      <c r="D860">
        <v>-112</v>
      </c>
      <c r="F860">
        <v>62.16</v>
      </c>
      <c r="G860" t="s">
        <v>3327</v>
      </c>
    </row>
    <row r="861" spans="1:7">
      <c r="A861">
        <v>823</v>
      </c>
      <c r="B861" t="s">
        <v>3444</v>
      </c>
      <c r="C861" t="s">
        <v>3327</v>
      </c>
      <c r="D861">
        <v>-113</v>
      </c>
      <c r="F861">
        <v>61.2</v>
      </c>
      <c r="G861" t="s">
        <v>3327</v>
      </c>
    </row>
    <row r="862" spans="1:7">
      <c r="A862">
        <v>824</v>
      </c>
      <c r="B862" t="s">
        <v>3444</v>
      </c>
      <c r="C862" t="s">
        <v>3327</v>
      </c>
      <c r="D862">
        <v>-114</v>
      </c>
      <c r="F862">
        <v>61.2</v>
      </c>
      <c r="G862" t="s">
        <v>3327</v>
      </c>
    </row>
    <row r="863" spans="1:7">
      <c r="A863">
        <v>825</v>
      </c>
      <c r="B863" t="s">
        <v>3444</v>
      </c>
      <c r="C863" t="s">
        <v>3327</v>
      </c>
      <c r="D863">
        <v>-115</v>
      </c>
      <c r="F863">
        <v>62.16</v>
      </c>
      <c r="G863" t="s">
        <v>3327</v>
      </c>
    </row>
    <row r="864" spans="1:7">
      <c r="A864">
        <v>826</v>
      </c>
      <c r="B864" t="s">
        <v>3444</v>
      </c>
      <c r="C864" t="s">
        <v>3327</v>
      </c>
      <c r="D864">
        <v>-116</v>
      </c>
      <c r="F864">
        <v>47.03</v>
      </c>
      <c r="G864" t="s">
        <v>3327</v>
      </c>
    </row>
    <row r="865" spans="1:7">
      <c r="A865">
        <v>827</v>
      </c>
      <c r="B865" t="s">
        <v>3444</v>
      </c>
      <c r="C865" t="s">
        <v>3327</v>
      </c>
      <c r="D865">
        <v>-117</v>
      </c>
      <c r="F865">
        <v>54.26</v>
      </c>
      <c r="G865" t="s">
        <v>3327</v>
      </c>
    </row>
    <row r="866" spans="1:7">
      <c r="A866">
        <v>828</v>
      </c>
      <c r="B866" t="s">
        <v>3444</v>
      </c>
      <c r="C866" t="s">
        <v>3327</v>
      </c>
      <c r="D866">
        <v>-118</v>
      </c>
      <c r="F866">
        <v>15.1</v>
      </c>
      <c r="G866" t="s">
        <v>3327</v>
      </c>
    </row>
    <row r="867" spans="1:7">
      <c r="A867">
        <v>829</v>
      </c>
      <c r="B867" t="s">
        <v>3444</v>
      </c>
      <c r="C867" t="s">
        <v>3327</v>
      </c>
      <c r="D867">
        <v>-119</v>
      </c>
      <c r="F867">
        <v>14.86</v>
      </c>
      <c r="G867" t="s">
        <v>3327</v>
      </c>
    </row>
    <row r="868" spans="1:7">
      <c r="A868">
        <v>830</v>
      </c>
      <c r="B868" t="s">
        <v>3444</v>
      </c>
      <c r="C868" t="s">
        <v>3327</v>
      </c>
      <c r="D868">
        <v>-120</v>
      </c>
      <c r="F868">
        <v>12.74</v>
      </c>
      <c r="G868" t="s">
        <v>3327</v>
      </c>
    </row>
    <row r="869" spans="1:7">
      <c r="A869">
        <v>831</v>
      </c>
      <c r="B869" t="s">
        <v>3444</v>
      </c>
      <c r="C869">
        <v>1</v>
      </c>
      <c r="D869">
        <v>201</v>
      </c>
      <c r="F869">
        <v>272.97000000000003</v>
      </c>
      <c r="G869" t="s">
        <v>3403</v>
      </c>
    </row>
    <row r="870" spans="1:7">
      <c r="A870">
        <v>832</v>
      </c>
      <c r="B870" t="s">
        <v>3444</v>
      </c>
      <c r="C870">
        <v>1</v>
      </c>
      <c r="D870">
        <v>202</v>
      </c>
      <c r="F870">
        <v>271.75</v>
      </c>
      <c r="G870" t="s">
        <v>3403</v>
      </c>
    </row>
    <row r="871" spans="1:7">
      <c r="A871">
        <v>833</v>
      </c>
      <c r="B871" t="s">
        <v>3444</v>
      </c>
      <c r="C871">
        <v>1</v>
      </c>
      <c r="D871">
        <v>301</v>
      </c>
      <c r="F871">
        <v>272.97000000000003</v>
      </c>
      <c r="G871" t="s">
        <v>3403</v>
      </c>
    </row>
    <row r="872" spans="1:7">
      <c r="A872">
        <v>834</v>
      </c>
      <c r="B872" t="s">
        <v>3444</v>
      </c>
      <c r="C872">
        <v>1</v>
      </c>
      <c r="D872">
        <v>401</v>
      </c>
      <c r="F872">
        <v>272.97000000000003</v>
      </c>
      <c r="G872" t="s">
        <v>3403</v>
      </c>
    </row>
    <row r="873" spans="1:7">
      <c r="A873">
        <v>835</v>
      </c>
      <c r="B873" t="s">
        <v>3444</v>
      </c>
      <c r="C873">
        <v>1</v>
      </c>
      <c r="D873">
        <v>402</v>
      </c>
      <c r="F873">
        <v>271.75</v>
      </c>
      <c r="G873" t="s">
        <v>3403</v>
      </c>
    </row>
    <row r="874" spans="1:7">
      <c r="A874">
        <v>836</v>
      </c>
      <c r="B874" t="s">
        <v>3444</v>
      </c>
      <c r="C874" t="s">
        <v>3327</v>
      </c>
      <c r="D874">
        <v>-201</v>
      </c>
      <c r="F874">
        <v>22.83</v>
      </c>
      <c r="G874" t="s">
        <v>3327</v>
      </c>
    </row>
    <row r="875" spans="1:7">
      <c r="A875">
        <v>837</v>
      </c>
      <c r="B875" t="s">
        <v>3444</v>
      </c>
      <c r="C875" t="s">
        <v>3327</v>
      </c>
      <c r="D875">
        <v>-202</v>
      </c>
      <c r="F875">
        <v>22.83</v>
      </c>
      <c r="G875" t="s">
        <v>3327</v>
      </c>
    </row>
    <row r="876" spans="1:7">
      <c r="A876">
        <v>838</v>
      </c>
      <c r="B876" t="s">
        <v>3444</v>
      </c>
      <c r="C876" t="s">
        <v>3327</v>
      </c>
      <c r="D876">
        <v>-203</v>
      </c>
      <c r="F876">
        <v>23.27</v>
      </c>
      <c r="G876" t="s">
        <v>3327</v>
      </c>
    </row>
    <row r="877" spans="1:7">
      <c r="A877">
        <v>839</v>
      </c>
      <c r="B877" t="s">
        <v>3444</v>
      </c>
      <c r="C877" t="s">
        <v>3327</v>
      </c>
      <c r="D877">
        <v>-204</v>
      </c>
      <c r="F877">
        <v>23.49</v>
      </c>
      <c r="G877" t="s">
        <v>3327</v>
      </c>
    </row>
    <row r="878" spans="1:7">
      <c r="A878">
        <v>840</v>
      </c>
      <c r="B878" t="s">
        <v>3444</v>
      </c>
      <c r="C878">
        <v>2</v>
      </c>
      <c r="D878">
        <v>101</v>
      </c>
      <c r="F878">
        <v>271.69</v>
      </c>
      <c r="G878" t="s">
        <v>3403</v>
      </c>
    </row>
    <row r="879" spans="1:7">
      <c r="A879">
        <v>841</v>
      </c>
      <c r="B879" t="s">
        <v>3444</v>
      </c>
      <c r="C879">
        <v>2</v>
      </c>
      <c r="D879">
        <v>102</v>
      </c>
      <c r="F879">
        <v>272.86</v>
      </c>
      <c r="G879" t="s">
        <v>3403</v>
      </c>
    </row>
    <row r="880" spans="1:7">
      <c r="A880">
        <v>842</v>
      </c>
      <c r="B880" t="s">
        <v>3444</v>
      </c>
      <c r="C880">
        <v>2</v>
      </c>
      <c r="D880">
        <v>202</v>
      </c>
      <c r="F880">
        <v>272.92</v>
      </c>
      <c r="G880" t="s">
        <v>3403</v>
      </c>
    </row>
    <row r="881" spans="1:7">
      <c r="A881">
        <v>843</v>
      </c>
      <c r="B881" t="s">
        <v>3445</v>
      </c>
      <c r="C881" t="s">
        <v>3327</v>
      </c>
      <c r="D881">
        <v>-106</v>
      </c>
      <c r="F881">
        <v>23.26</v>
      </c>
      <c r="G881" t="s">
        <v>3327</v>
      </c>
    </row>
    <row r="882" spans="1:7">
      <c r="A882">
        <v>844</v>
      </c>
      <c r="B882" t="s">
        <v>3445</v>
      </c>
      <c r="C882" t="s">
        <v>3327</v>
      </c>
      <c r="D882">
        <v>-107</v>
      </c>
      <c r="F882">
        <v>55.74</v>
      </c>
      <c r="G882" t="s">
        <v>3327</v>
      </c>
    </row>
    <row r="883" spans="1:7">
      <c r="A883">
        <v>845</v>
      </c>
      <c r="B883" t="s">
        <v>3445</v>
      </c>
      <c r="C883" t="s">
        <v>3327</v>
      </c>
      <c r="D883">
        <v>-108</v>
      </c>
      <c r="F883">
        <v>40.76</v>
      </c>
      <c r="G883" t="s">
        <v>3327</v>
      </c>
    </row>
    <row r="884" spans="1:7">
      <c r="A884">
        <v>846</v>
      </c>
      <c r="B884" t="s">
        <v>3445</v>
      </c>
      <c r="C884" t="s">
        <v>3327</v>
      </c>
      <c r="D884">
        <v>-109</v>
      </c>
      <c r="F884">
        <v>40.76</v>
      </c>
      <c r="G884" t="s">
        <v>3327</v>
      </c>
    </row>
    <row r="885" spans="1:7">
      <c r="A885">
        <v>847</v>
      </c>
      <c r="B885" t="s">
        <v>3445</v>
      </c>
      <c r="C885" t="s">
        <v>3327</v>
      </c>
      <c r="D885">
        <v>-110</v>
      </c>
      <c r="F885">
        <v>55.74</v>
      </c>
      <c r="G885" t="s">
        <v>3327</v>
      </c>
    </row>
    <row r="886" spans="1:7">
      <c r="A886">
        <v>848</v>
      </c>
      <c r="B886" t="s">
        <v>3445</v>
      </c>
      <c r="C886" t="s">
        <v>3327</v>
      </c>
      <c r="D886">
        <v>-111</v>
      </c>
      <c r="F886">
        <v>23.26</v>
      </c>
      <c r="G886" t="s">
        <v>3327</v>
      </c>
    </row>
    <row r="887" spans="1:7">
      <c r="A887">
        <v>849</v>
      </c>
      <c r="B887" t="s">
        <v>3445</v>
      </c>
      <c r="C887" t="s">
        <v>3327</v>
      </c>
      <c r="D887">
        <v>-112</v>
      </c>
      <c r="F887">
        <v>23.26</v>
      </c>
      <c r="G887" t="s">
        <v>3327</v>
      </c>
    </row>
    <row r="888" spans="1:7">
      <c r="A888">
        <v>850</v>
      </c>
      <c r="B888" t="s">
        <v>3445</v>
      </c>
      <c r="C888" t="s">
        <v>3327</v>
      </c>
      <c r="D888">
        <v>-113</v>
      </c>
      <c r="F888">
        <v>55.74</v>
      </c>
      <c r="G888" t="s">
        <v>3327</v>
      </c>
    </row>
    <row r="889" spans="1:7">
      <c r="A889">
        <v>851</v>
      </c>
      <c r="B889" t="s">
        <v>3445</v>
      </c>
      <c r="C889" t="s">
        <v>3327</v>
      </c>
      <c r="D889">
        <v>-114</v>
      </c>
      <c r="F889">
        <v>40.46</v>
      </c>
      <c r="G889" t="s">
        <v>3327</v>
      </c>
    </row>
    <row r="890" spans="1:7">
      <c r="A890">
        <v>852</v>
      </c>
      <c r="B890" t="s">
        <v>3445</v>
      </c>
      <c r="C890" t="s">
        <v>3327</v>
      </c>
      <c r="D890">
        <v>-115</v>
      </c>
      <c r="F890">
        <v>40.46</v>
      </c>
      <c r="G890" t="s">
        <v>3327</v>
      </c>
    </row>
    <row r="891" spans="1:7">
      <c r="A891">
        <v>853</v>
      </c>
      <c r="B891" t="s">
        <v>3445</v>
      </c>
      <c r="C891" t="s">
        <v>3327</v>
      </c>
      <c r="D891">
        <v>-116</v>
      </c>
      <c r="F891">
        <v>55.74</v>
      </c>
      <c r="G891" t="s">
        <v>3327</v>
      </c>
    </row>
    <row r="892" spans="1:7">
      <c r="A892">
        <v>854</v>
      </c>
      <c r="B892" t="s">
        <v>3445</v>
      </c>
      <c r="C892" t="s">
        <v>3327</v>
      </c>
      <c r="D892">
        <v>-117</v>
      </c>
      <c r="F892">
        <v>23.26</v>
      </c>
      <c r="G892" t="s">
        <v>3327</v>
      </c>
    </row>
    <row r="893" spans="1:7">
      <c r="A893">
        <v>855</v>
      </c>
      <c r="B893" t="s">
        <v>3445</v>
      </c>
      <c r="C893" t="s">
        <v>3327</v>
      </c>
      <c r="D893">
        <v>-118</v>
      </c>
      <c r="F893">
        <v>23.26</v>
      </c>
      <c r="G893" t="s">
        <v>3327</v>
      </c>
    </row>
    <row r="894" spans="1:7">
      <c r="A894">
        <v>856</v>
      </c>
      <c r="B894" t="s">
        <v>3445</v>
      </c>
      <c r="C894" t="s">
        <v>3327</v>
      </c>
      <c r="D894">
        <v>-119</v>
      </c>
      <c r="F894">
        <v>52.86</v>
      </c>
      <c r="G894" t="s">
        <v>3327</v>
      </c>
    </row>
    <row r="895" spans="1:7">
      <c r="A895">
        <v>857</v>
      </c>
      <c r="B895" t="s">
        <v>3445</v>
      </c>
      <c r="C895" t="s">
        <v>3327</v>
      </c>
      <c r="D895">
        <v>-120</v>
      </c>
      <c r="F895">
        <v>45.76</v>
      </c>
      <c r="G895" t="s">
        <v>3327</v>
      </c>
    </row>
    <row r="896" spans="1:7">
      <c r="A896">
        <v>858</v>
      </c>
      <c r="B896" t="s">
        <v>3445</v>
      </c>
      <c r="C896">
        <v>1</v>
      </c>
      <c r="D896">
        <v>201</v>
      </c>
      <c r="F896">
        <v>192.53</v>
      </c>
      <c r="G896" t="s">
        <v>3403</v>
      </c>
    </row>
    <row r="897" spans="1:7">
      <c r="A897">
        <v>859</v>
      </c>
      <c r="B897" t="s">
        <v>3445</v>
      </c>
      <c r="C897" t="s">
        <v>3327</v>
      </c>
      <c r="D897">
        <v>-121</v>
      </c>
      <c r="F897">
        <v>16.02</v>
      </c>
      <c r="G897" t="s">
        <v>3327</v>
      </c>
    </row>
    <row r="898" spans="1:7">
      <c r="A898">
        <v>860</v>
      </c>
      <c r="B898" t="s">
        <v>3445</v>
      </c>
      <c r="C898" t="s">
        <v>3327</v>
      </c>
      <c r="D898">
        <v>-122</v>
      </c>
      <c r="F898">
        <v>30.5</v>
      </c>
      <c r="G898" t="s">
        <v>3327</v>
      </c>
    </row>
    <row r="899" spans="1:7">
      <c r="A899">
        <v>861</v>
      </c>
      <c r="B899" t="s">
        <v>3445</v>
      </c>
      <c r="C899" t="s">
        <v>3327</v>
      </c>
      <c r="D899">
        <v>-123</v>
      </c>
      <c r="F899">
        <v>15.08</v>
      </c>
      <c r="G899" t="s">
        <v>3327</v>
      </c>
    </row>
    <row r="900" spans="1:7">
      <c r="A900">
        <v>862</v>
      </c>
      <c r="B900" t="s">
        <v>3445</v>
      </c>
      <c r="C900" t="s">
        <v>3327</v>
      </c>
      <c r="D900">
        <v>-124</v>
      </c>
      <c r="F900">
        <v>18.850000000000001</v>
      </c>
      <c r="G900" t="s">
        <v>3327</v>
      </c>
    </row>
    <row r="901" spans="1:7">
      <c r="A901">
        <v>863</v>
      </c>
      <c r="B901" t="s">
        <v>3445</v>
      </c>
      <c r="C901" t="s">
        <v>3327</v>
      </c>
      <c r="D901">
        <v>-125</v>
      </c>
      <c r="F901">
        <v>18.850000000000001</v>
      </c>
      <c r="G901" t="s">
        <v>3327</v>
      </c>
    </row>
    <row r="902" spans="1:7">
      <c r="A902">
        <v>864</v>
      </c>
      <c r="B902" t="s">
        <v>3445</v>
      </c>
      <c r="C902" t="s">
        <v>3327</v>
      </c>
      <c r="D902">
        <v>-126</v>
      </c>
      <c r="F902">
        <v>15.08</v>
      </c>
      <c r="G902" t="s">
        <v>3327</v>
      </c>
    </row>
    <row r="903" spans="1:7">
      <c r="A903">
        <v>865</v>
      </c>
      <c r="B903" t="s">
        <v>3445</v>
      </c>
      <c r="C903" t="s">
        <v>3327</v>
      </c>
      <c r="D903">
        <v>-127</v>
      </c>
      <c r="F903">
        <v>27.19</v>
      </c>
      <c r="G903" t="s">
        <v>3327</v>
      </c>
    </row>
    <row r="904" spans="1:7">
      <c r="A904">
        <v>866</v>
      </c>
      <c r="B904" t="s">
        <v>3445</v>
      </c>
      <c r="C904" t="s">
        <v>3327</v>
      </c>
      <c r="D904">
        <v>-128</v>
      </c>
      <c r="F904">
        <v>19.48</v>
      </c>
      <c r="G904" t="s">
        <v>3327</v>
      </c>
    </row>
    <row r="905" spans="1:7">
      <c r="A905">
        <v>867</v>
      </c>
      <c r="B905" t="s">
        <v>3445</v>
      </c>
      <c r="C905" t="s">
        <v>3327</v>
      </c>
      <c r="D905">
        <v>-129</v>
      </c>
      <c r="F905">
        <v>19.48</v>
      </c>
      <c r="G905" t="s">
        <v>3327</v>
      </c>
    </row>
    <row r="906" spans="1:7">
      <c r="A906">
        <v>868</v>
      </c>
      <c r="B906" t="s">
        <v>3445</v>
      </c>
      <c r="C906" t="s">
        <v>3327</v>
      </c>
      <c r="D906">
        <v>-130</v>
      </c>
      <c r="F906">
        <v>15.08</v>
      </c>
      <c r="G906" t="s">
        <v>3327</v>
      </c>
    </row>
    <row r="907" spans="1:7">
      <c r="A907">
        <v>869</v>
      </c>
      <c r="B907" t="s">
        <v>3445</v>
      </c>
      <c r="C907">
        <v>1</v>
      </c>
      <c r="D907">
        <v>301</v>
      </c>
      <c r="F907">
        <v>192.53</v>
      </c>
      <c r="G907" t="s">
        <v>3403</v>
      </c>
    </row>
    <row r="908" spans="1:7">
      <c r="A908">
        <v>870</v>
      </c>
      <c r="B908" t="s">
        <v>3445</v>
      </c>
      <c r="C908" t="s">
        <v>3327</v>
      </c>
      <c r="D908">
        <v>-202</v>
      </c>
      <c r="F908">
        <v>16.489999999999998</v>
      </c>
      <c r="G908" t="s">
        <v>3327</v>
      </c>
    </row>
    <row r="909" spans="1:7">
      <c r="A909">
        <v>871</v>
      </c>
      <c r="B909" t="s">
        <v>3445</v>
      </c>
      <c r="C909" t="s">
        <v>3327</v>
      </c>
      <c r="D909">
        <v>-203</v>
      </c>
      <c r="F909">
        <v>16.489999999999998</v>
      </c>
      <c r="G909" t="s">
        <v>3327</v>
      </c>
    </row>
    <row r="910" spans="1:7">
      <c r="A910">
        <v>872</v>
      </c>
      <c r="B910" t="s">
        <v>3445</v>
      </c>
      <c r="C910" t="s">
        <v>3327</v>
      </c>
      <c r="D910">
        <v>-204</v>
      </c>
      <c r="F910">
        <v>16.98</v>
      </c>
      <c r="G910" t="s">
        <v>3327</v>
      </c>
    </row>
    <row r="911" spans="1:7">
      <c r="A911">
        <v>873</v>
      </c>
      <c r="B911" t="s">
        <v>3445</v>
      </c>
      <c r="C911" t="s">
        <v>3327</v>
      </c>
      <c r="D911">
        <v>-205</v>
      </c>
      <c r="F911">
        <v>24.96</v>
      </c>
      <c r="G911" t="s">
        <v>3327</v>
      </c>
    </row>
    <row r="912" spans="1:7">
      <c r="A912">
        <v>874</v>
      </c>
      <c r="B912" t="s">
        <v>3445</v>
      </c>
      <c r="C912" t="s">
        <v>3327</v>
      </c>
      <c r="D912">
        <v>-206</v>
      </c>
      <c r="F912">
        <v>18.39</v>
      </c>
      <c r="G912" t="s">
        <v>3327</v>
      </c>
    </row>
    <row r="913" spans="1:7">
      <c r="A913">
        <v>875</v>
      </c>
      <c r="B913" t="s">
        <v>3445</v>
      </c>
      <c r="C913" t="s">
        <v>3327</v>
      </c>
      <c r="D913">
        <v>-207</v>
      </c>
      <c r="F913">
        <v>18.39</v>
      </c>
      <c r="G913" t="s">
        <v>3327</v>
      </c>
    </row>
    <row r="914" spans="1:7">
      <c r="A914">
        <v>876</v>
      </c>
      <c r="B914" t="s">
        <v>3445</v>
      </c>
      <c r="C914" t="s">
        <v>3327</v>
      </c>
      <c r="D914">
        <v>-208</v>
      </c>
      <c r="F914">
        <v>21.02</v>
      </c>
      <c r="G914" t="s">
        <v>3327</v>
      </c>
    </row>
    <row r="915" spans="1:7">
      <c r="A915">
        <v>877</v>
      </c>
      <c r="B915" t="s">
        <v>3445</v>
      </c>
      <c r="C915" t="s">
        <v>3327</v>
      </c>
      <c r="D915">
        <v>-209</v>
      </c>
      <c r="F915">
        <v>21.02</v>
      </c>
      <c r="G915" t="s">
        <v>3327</v>
      </c>
    </row>
    <row r="916" spans="1:7">
      <c r="A916">
        <v>878</v>
      </c>
      <c r="B916" t="s">
        <v>3445</v>
      </c>
      <c r="C916" t="s">
        <v>3327</v>
      </c>
      <c r="D916">
        <v>-210</v>
      </c>
      <c r="F916">
        <v>19.71</v>
      </c>
      <c r="G916" t="s">
        <v>3327</v>
      </c>
    </row>
    <row r="917" spans="1:7">
      <c r="A917">
        <v>879</v>
      </c>
      <c r="B917" t="s">
        <v>3445</v>
      </c>
      <c r="C917">
        <v>2</v>
      </c>
      <c r="D917">
        <v>101</v>
      </c>
      <c r="F917">
        <v>168.06</v>
      </c>
      <c r="G917" t="s">
        <v>3403</v>
      </c>
    </row>
    <row r="918" spans="1:7">
      <c r="A918">
        <v>880</v>
      </c>
      <c r="B918" t="s">
        <v>3445</v>
      </c>
      <c r="C918">
        <v>2</v>
      </c>
      <c r="D918">
        <v>102</v>
      </c>
      <c r="F918">
        <v>184.43</v>
      </c>
      <c r="G918" t="s">
        <v>3403</v>
      </c>
    </row>
    <row r="919" spans="1:7">
      <c r="A919">
        <v>881</v>
      </c>
      <c r="B919" t="s">
        <v>3445</v>
      </c>
      <c r="C919" t="s">
        <v>3327</v>
      </c>
      <c r="D919">
        <v>-211</v>
      </c>
      <c r="F919">
        <v>17.079999999999998</v>
      </c>
      <c r="G919" t="s">
        <v>3327</v>
      </c>
    </row>
    <row r="920" spans="1:7">
      <c r="A920">
        <v>882</v>
      </c>
      <c r="B920" t="s">
        <v>3445</v>
      </c>
      <c r="C920" t="s">
        <v>3327</v>
      </c>
      <c r="D920">
        <v>-212</v>
      </c>
      <c r="F920">
        <v>19.04</v>
      </c>
      <c r="G920" t="s">
        <v>3327</v>
      </c>
    </row>
    <row r="921" spans="1:7">
      <c r="A921">
        <v>883</v>
      </c>
      <c r="B921" t="s">
        <v>3445</v>
      </c>
      <c r="C921" t="s">
        <v>3327</v>
      </c>
      <c r="D921">
        <v>-213</v>
      </c>
      <c r="F921">
        <v>16.489999999999998</v>
      </c>
      <c r="G921" t="s">
        <v>3327</v>
      </c>
    </row>
    <row r="922" spans="1:7">
      <c r="A922">
        <v>884</v>
      </c>
      <c r="B922" t="s">
        <v>3445</v>
      </c>
      <c r="C922">
        <v>2</v>
      </c>
      <c r="D922">
        <v>301</v>
      </c>
      <c r="F922">
        <v>184.47</v>
      </c>
      <c r="G922" t="s">
        <v>3403</v>
      </c>
    </row>
    <row r="923" spans="1:7">
      <c r="A923">
        <v>885</v>
      </c>
      <c r="B923" t="s">
        <v>3445</v>
      </c>
      <c r="C923">
        <v>3</v>
      </c>
      <c r="D923">
        <v>101</v>
      </c>
      <c r="F923">
        <v>168.06</v>
      </c>
      <c r="G923" t="s">
        <v>3403</v>
      </c>
    </row>
    <row r="924" spans="1:7">
      <c r="A924">
        <v>886</v>
      </c>
      <c r="B924" t="s">
        <v>3445</v>
      </c>
      <c r="C924">
        <v>3</v>
      </c>
      <c r="D924">
        <v>102</v>
      </c>
      <c r="F924">
        <v>192.5</v>
      </c>
      <c r="G924" t="s">
        <v>3403</v>
      </c>
    </row>
    <row r="925" spans="1:7">
      <c r="A925">
        <v>887</v>
      </c>
      <c r="B925" t="s">
        <v>3445</v>
      </c>
      <c r="C925">
        <v>3</v>
      </c>
      <c r="D925">
        <v>201</v>
      </c>
      <c r="F925">
        <v>184.47</v>
      </c>
      <c r="G925" t="s">
        <v>3403</v>
      </c>
    </row>
    <row r="926" spans="1:7">
      <c r="A926">
        <v>888</v>
      </c>
      <c r="B926" t="s">
        <v>3445</v>
      </c>
      <c r="C926">
        <v>3</v>
      </c>
      <c r="D926">
        <v>202</v>
      </c>
      <c r="F926">
        <v>192.53</v>
      </c>
      <c r="G926" t="s">
        <v>3403</v>
      </c>
    </row>
    <row r="927" spans="1:7">
      <c r="A927">
        <v>889</v>
      </c>
      <c r="B927" t="s">
        <v>3445</v>
      </c>
      <c r="C927">
        <v>3</v>
      </c>
      <c r="D927">
        <v>301</v>
      </c>
      <c r="F927">
        <v>184.47</v>
      </c>
      <c r="G927" t="s">
        <v>3403</v>
      </c>
    </row>
    <row r="928" spans="1:7">
      <c r="A928">
        <v>890</v>
      </c>
      <c r="B928" t="s">
        <v>3445</v>
      </c>
      <c r="C928">
        <v>3</v>
      </c>
      <c r="D928">
        <v>302</v>
      </c>
      <c r="F928">
        <v>192.53</v>
      </c>
      <c r="G928" t="s">
        <v>3403</v>
      </c>
    </row>
    <row r="929" spans="1:7">
      <c r="A929">
        <v>891</v>
      </c>
      <c r="B929" t="s">
        <v>3445</v>
      </c>
      <c r="C929">
        <v>3</v>
      </c>
      <c r="D929">
        <v>401</v>
      </c>
      <c r="F929">
        <v>184.47</v>
      </c>
      <c r="G929" t="s">
        <v>3403</v>
      </c>
    </row>
    <row r="930" spans="1:7">
      <c r="A930">
        <v>892</v>
      </c>
      <c r="B930" t="s">
        <v>3445</v>
      </c>
      <c r="C930">
        <v>3</v>
      </c>
      <c r="D930">
        <v>402</v>
      </c>
      <c r="F930">
        <v>192.53</v>
      </c>
      <c r="G930" t="s">
        <v>3403</v>
      </c>
    </row>
    <row r="931" spans="1:7">
      <c r="A931">
        <v>893</v>
      </c>
      <c r="B931" t="s">
        <v>3446</v>
      </c>
      <c r="C931" t="s">
        <v>3327</v>
      </c>
      <c r="D931">
        <v>-101</v>
      </c>
      <c r="F931">
        <v>15.1</v>
      </c>
      <c r="G931" t="s">
        <v>3327</v>
      </c>
    </row>
    <row r="932" spans="1:7">
      <c r="A932">
        <v>894</v>
      </c>
      <c r="B932" t="s">
        <v>3446</v>
      </c>
      <c r="C932" t="s">
        <v>3327</v>
      </c>
      <c r="D932">
        <v>-102</v>
      </c>
      <c r="F932">
        <v>42.57</v>
      </c>
      <c r="G932" t="s">
        <v>3327</v>
      </c>
    </row>
    <row r="933" spans="1:7">
      <c r="A933">
        <v>895</v>
      </c>
      <c r="B933" t="s">
        <v>3446</v>
      </c>
      <c r="C933" t="s">
        <v>3327</v>
      </c>
      <c r="D933">
        <v>-103</v>
      </c>
      <c r="F933">
        <v>47.19</v>
      </c>
      <c r="G933" t="s">
        <v>3327</v>
      </c>
    </row>
    <row r="934" spans="1:7">
      <c r="A934">
        <v>896</v>
      </c>
      <c r="B934" t="s">
        <v>3446</v>
      </c>
      <c r="C934" t="s">
        <v>3327</v>
      </c>
      <c r="D934">
        <v>-104</v>
      </c>
      <c r="F934">
        <v>62.37</v>
      </c>
      <c r="G934" t="s">
        <v>3327</v>
      </c>
    </row>
    <row r="935" spans="1:7">
      <c r="A935">
        <v>897</v>
      </c>
      <c r="B935" t="s">
        <v>3446</v>
      </c>
      <c r="C935" t="s">
        <v>3327</v>
      </c>
      <c r="D935">
        <v>-105</v>
      </c>
      <c r="F935">
        <v>61.41</v>
      </c>
      <c r="G935" t="s">
        <v>3327</v>
      </c>
    </row>
    <row r="936" spans="1:7">
      <c r="A936">
        <v>898</v>
      </c>
      <c r="B936" t="s">
        <v>3446</v>
      </c>
      <c r="C936" t="s">
        <v>3327</v>
      </c>
      <c r="D936">
        <v>-106</v>
      </c>
      <c r="F936">
        <v>61.41</v>
      </c>
      <c r="G936" t="s">
        <v>3327</v>
      </c>
    </row>
    <row r="937" spans="1:7">
      <c r="A937">
        <v>899</v>
      </c>
      <c r="B937" t="s">
        <v>3446</v>
      </c>
      <c r="C937" t="s">
        <v>3327</v>
      </c>
      <c r="D937">
        <v>-107</v>
      </c>
      <c r="F937">
        <v>62.37</v>
      </c>
      <c r="G937" t="s">
        <v>3327</v>
      </c>
    </row>
    <row r="938" spans="1:7">
      <c r="A938">
        <v>900</v>
      </c>
      <c r="B938" t="s">
        <v>3446</v>
      </c>
      <c r="C938" t="s">
        <v>3327</v>
      </c>
      <c r="D938">
        <v>-108</v>
      </c>
      <c r="F938">
        <v>47.19</v>
      </c>
      <c r="G938" t="s">
        <v>3327</v>
      </c>
    </row>
    <row r="939" spans="1:7">
      <c r="A939">
        <v>901</v>
      </c>
      <c r="B939" t="s">
        <v>3446</v>
      </c>
      <c r="C939" t="s">
        <v>3327</v>
      </c>
      <c r="D939">
        <v>-109</v>
      </c>
      <c r="F939">
        <v>42.78</v>
      </c>
      <c r="G939" t="s">
        <v>3327</v>
      </c>
    </row>
    <row r="940" spans="1:7">
      <c r="A940">
        <v>902</v>
      </c>
      <c r="B940" t="s">
        <v>3446</v>
      </c>
      <c r="C940" t="s">
        <v>3327</v>
      </c>
      <c r="D940">
        <v>-110</v>
      </c>
      <c r="F940">
        <v>42.78</v>
      </c>
      <c r="G940" t="s">
        <v>3327</v>
      </c>
    </row>
    <row r="941" spans="1:7">
      <c r="A941">
        <v>903</v>
      </c>
      <c r="B941" t="s">
        <v>3446</v>
      </c>
      <c r="C941">
        <v>1</v>
      </c>
      <c r="D941">
        <v>101</v>
      </c>
      <c r="F941">
        <v>272.91000000000003</v>
      </c>
      <c r="G941" t="s">
        <v>3403</v>
      </c>
    </row>
    <row r="942" spans="1:7">
      <c r="A942">
        <v>904</v>
      </c>
      <c r="B942" t="s">
        <v>3446</v>
      </c>
      <c r="C942">
        <v>1</v>
      </c>
      <c r="D942">
        <v>102</v>
      </c>
      <c r="F942">
        <v>271.73</v>
      </c>
      <c r="G942" t="s">
        <v>3403</v>
      </c>
    </row>
    <row r="943" spans="1:7">
      <c r="A943">
        <v>905</v>
      </c>
      <c r="B943" t="s">
        <v>3446</v>
      </c>
      <c r="C943" t="s">
        <v>3327</v>
      </c>
      <c r="D943">
        <v>-111</v>
      </c>
      <c r="F943">
        <v>47.19</v>
      </c>
      <c r="G943" t="s">
        <v>3327</v>
      </c>
    </row>
    <row r="944" spans="1:7">
      <c r="A944">
        <v>906</v>
      </c>
      <c r="B944" t="s">
        <v>3446</v>
      </c>
      <c r="C944" t="s">
        <v>3327</v>
      </c>
      <c r="D944">
        <v>-112</v>
      </c>
      <c r="F944">
        <v>62.37</v>
      </c>
      <c r="G944" t="s">
        <v>3327</v>
      </c>
    </row>
    <row r="945" spans="1:7">
      <c r="A945">
        <v>907</v>
      </c>
      <c r="B945" t="s">
        <v>3446</v>
      </c>
      <c r="C945" t="s">
        <v>3327</v>
      </c>
      <c r="D945">
        <v>-113</v>
      </c>
      <c r="F945">
        <v>61.41</v>
      </c>
      <c r="G945" t="s">
        <v>3327</v>
      </c>
    </row>
    <row r="946" spans="1:7">
      <c r="A946">
        <v>908</v>
      </c>
      <c r="B946" t="s">
        <v>3446</v>
      </c>
      <c r="C946" t="s">
        <v>3327</v>
      </c>
      <c r="D946">
        <v>-114</v>
      </c>
      <c r="F946">
        <v>61.41</v>
      </c>
      <c r="G946" t="s">
        <v>3327</v>
      </c>
    </row>
    <row r="947" spans="1:7">
      <c r="A947">
        <v>909</v>
      </c>
      <c r="B947" t="s">
        <v>3446</v>
      </c>
      <c r="C947" t="s">
        <v>3327</v>
      </c>
      <c r="D947">
        <v>-115</v>
      </c>
      <c r="F947">
        <v>62.37</v>
      </c>
      <c r="G947" t="s">
        <v>3327</v>
      </c>
    </row>
    <row r="948" spans="1:7">
      <c r="A948">
        <v>910</v>
      </c>
      <c r="B948" t="s">
        <v>3446</v>
      </c>
      <c r="C948" t="s">
        <v>3327</v>
      </c>
      <c r="D948">
        <v>-116</v>
      </c>
      <c r="F948">
        <v>47.19</v>
      </c>
      <c r="G948" t="s">
        <v>3327</v>
      </c>
    </row>
    <row r="949" spans="1:7">
      <c r="A949">
        <v>911</v>
      </c>
      <c r="B949" t="s">
        <v>3446</v>
      </c>
      <c r="C949" t="s">
        <v>3327</v>
      </c>
      <c r="D949">
        <v>-117</v>
      </c>
      <c r="F949">
        <v>54.45</v>
      </c>
      <c r="G949" t="s">
        <v>3327</v>
      </c>
    </row>
    <row r="950" spans="1:7">
      <c r="A950">
        <v>912</v>
      </c>
      <c r="B950" t="s">
        <v>3446</v>
      </c>
      <c r="C950" t="s">
        <v>3327</v>
      </c>
      <c r="D950">
        <v>-118</v>
      </c>
      <c r="F950">
        <v>15.15</v>
      </c>
      <c r="G950" t="s">
        <v>3327</v>
      </c>
    </row>
    <row r="951" spans="1:7">
      <c r="A951">
        <v>913</v>
      </c>
      <c r="B951" t="s">
        <v>3446</v>
      </c>
      <c r="C951" t="s">
        <v>3327</v>
      </c>
      <c r="D951">
        <v>-119</v>
      </c>
      <c r="F951">
        <v>14.91</v>
      </c>
      <c r="G951" t="s">
        <v>3327</v>
      </c>
    </row>
    <row r="952" spans="1:7">
      <c r="A952">
        <v>914</v>
      </c>
      <c r="B952" t="s">
        <v>3446</v>
      </c>
      <c r="C952" t="s">
        <v>3327</v>
      </c>
      <c r="D952">
        <v>-120</v>
      </c>
      <c r="F952">
        <v>14.91</v>
      </c>
      <c r="G952" t="s">
        <v>3327</v>
      </c>
    </row>
    <row r="953" spans="1:7">
      <c r="A953">
        <v>915</v>
      </c>
      <c r="B953" t="s">
        <v>3446</v>
      </c>
      <c r="C953">
        <v>1</v>
      </c>
      <c r="D953">
        <v>202</v>
      </c>
      <c r="F953">
        <v>271.8</v>
      </c>
      <c r="G953" t="s">
        <v>3403</v>
      </c>
    </row>
    <row r="954" spans="1:7">
      <c r="A954">
        <v>916</v>
      </c>
      <c r="B954" t="s">
        <v>3446</v>
      </c>
      <c r="C954">
        <v>1</v>
      </c>
      <c r="D954">
        <v>402</v>
      </c>
      <c r="F954">
        <v>271.8</v>
      </c>
      <c r="G954" t="s">
        <v>3403</v>
      </c>
    </row>
    <row r="955" spans="1:7">
      <c r="A955">
        <v>917</v>
      </c>
      <c r="B955" t="s">
        <v>3446</v>
      </c>
      <c r="C955" t="s">
        <v>3327</v>
      </c>
      <c r="D955">
        <v>-201</v>
      </c>
      <c r="F955">
        <v>22.9</v>
      </c>
      <c r="G955" t="s">
        <v>3327</v>
      </c>
    </row>
    <row r="956" spans="1:7">
      <c r="A956">
        <v>918</v>
      </c>
      <c r="B956" t="s">
        <v>3446</v>
      </c>
      <c r="C956" t="s">
        <v>3327</v>
      </c>
      <c r="D956">
        <v>-202</v>
      </c>
      <c r="F956">
        <v>22.9</v>
      </c>
      <c r="G956" t="s">
        <v>3327</v>
      </c>
    </row>
    <row r="957" spans="1:7">
      <c r="A957">
        <v>919</v>
      </c>
      <c r="B957" t="s">
        <v>3446</v>
      </c>
      <c r="C957" t="s">
        <v>3327</v>
      </c>
      <c r="D957">
        <v>-203</v>
      </c>
      <c r="F957">
        <v>22.9</v>
      </c>
      <c r="G957" t="s">
        <v>3327</v>
      </c>
    </row>
    <row r="958" spans="1:7">
      <c r="A958">
        <v>920</v>
      </c>
      <c r="B958" t="s">
        <v>3446</v>
      </c>
      <c r="C958" t="s">
        <v>3327</v>
      </c>
      <c r="D958">
        <v>-204</v>
      </c>
      <c r="F958">
        <v>22.9</v>
      </c>
      <c r="G958" t="s">
        <v>3327</v>
      </c>
    </row>
    <row r="959" spans="1:7">
      <c r="A959">
        <v>921</v>
      </c>
      <c r="B959" t="s">
        <v>3446</v>
      </c>
      <c r="C959">
        <v>2</v>
      </c>
      <c r="D959">
        <v>101</v>
      </c>
      <c r="F959">
        <v>271.73</v>
      </c>
      <c r="G959" t="s">
        <v>3403</v>
      </c>
    </row>
    <row r="960" spans="1:7">
      <c r="A960">
        <v>922</v>
      </c>
      <c r="B960" t="s">
        <v>3446</v>
      </c>
      <c r="C960">
        <v>2</v>
      </c>
      <c r="D960">
        <v>102</v>
      </c>
      <c r="F960">
        <v>272.91000000000003</v>
      </c>
      <c r="G960" t="s">
        <v>3403</v>
      </c>
    </row>
    <row r="961" spans="1:7">
      <c r="A961">
        <v>923</v>
      </c>
      <c r="B961" t="s">
        <v>3446</v>
      </c>
      <c r="C961">
        <v>2</v>
      </c>
      <c r="D961">
        <v>201</v>
      </c>
      <c r="F961">
        <v>271.8</v>
      </c>
      <c r="G961" t="s">
        <v>3403</v>
      </c>
    </row>
    <row r="962" spans="1:7">
      <c r="A962">
        <v>924</v>
      </c>
      <c r="B962" t="s">
        <v>3446</v>
      </c>
      <c r="C962">
        <v>2</v>
      </c>
      <c r="D962">
        <v>301</v>
      </c>
      <c r="F962">
        <v>271.8</v>
      </c>
      <c r="G962" t="s">
        <v>3403</v>
      </c>
    </row>
    <row r="963" spans="1:7">
      <c r="A963">
        <v>925</v>
      </c>
      <c r="B963" t="s">
        <v>3447</v>
      </c>
      <c r="C963" t="s">
        <v>3327</v>
      </c>
      <c r="D963">
        <v>-106</v>
      </c>
      <c r="F963">
        <v>34.520000000000003</v>
      </c>
      <c r="G963" t="s">
        <v>3327</v>
      </c>
    </row>
    <row r="964" spans="1:7">
      <c r="A964">
        <v>926</v>
      </c>
      <c r="B964" t="s">
        <v>3447</v>
      </c>
      <c r="C964" t="s">
        <v>3327</v>
      </c>
      <c r="D964">
        <v>-107</v>
      </c>
      <c r="F964">
        <v>63.28</v>
      </c>
      <c r="G964" t="s">
        <v>3327</v>
      </c>
    </row>
    <row r="965" spans="1:7">
      <c r="A965">
        <v>927</v>
      </c>
      <c r="B965" t="s">
        <v>3447</v>
      </c>
      <c r="C965" t="s">
        <v>3327</v>
      </c>
      <c r="D965">
        <v>-108</v>
      </c>
      <c r="F965">
        <v>47.64</v>
      </c>
      <c r="G965" t="s">
        <v>3327</v>
      </c>
    </row>
    <row r="966" spans="1:7">
      <c r="A966">
        <v>928</v>
      </c>
      <c r="B966" t="s">
        <v>3447</v>
      </c>
      <c r="C966" t="s">
        <v>3327</v>
      </c>
      <c r="D966">
        <v>-109</v>
      </c>
      <c r="F966">
        <v>47.64</v>
      </c>
      <c r="G966" t="s">
        <v>3327</v>
      </c>
    </row>
    <row r="967" spans="1:7">
      <c r="A967">
        <v>929</v>
      </c>
      <c r="B967" t="s">
        <v>3447</v>
      </c>
      <c r="C967" t="s">
        <v>3327</v>
      </c>
      <c r="D967">
        <v>-110</v>
      </c>
      <c r="F967">
        <v>63.28</v>
      </c>
      <c r="G967" t="s">
        <v>3327</v>
      </c>
    </row>
    <row r="968" spans="1:7">
      <c r="A968">
        <v>930</v>
      </c>
      <c r="B968" t="s">
        <v>3447</v>
      </c>
      <c r="C968">
        <v>1</v>
      </c>
      <c r="D968">
        <v>102</v>
      </c>
      <c r="F968">
        <v>210.91</v>
      </c>
      <c r="G968" t="s">
        <v>3403</v>
      </c>
    </row>
    <row r="969" spans="1:7">
      <c r="A969">
        <v>931</v>
      </c>
      <c r="B969" t="s">
        <v>3447</v>
      </c>
      <c r="C969" t="s">
        <v>3327</v>
      </c>
      <c r="D969">
        <v>-111</v>
      </c>
      <c r="F969">
        <v>34.520000000000003</v>
      </c>
      <c r="G969" t="s">
        <v>3327</v>
      </c>
    </row>
    <row r="970" spans="1:7">
      <c r="A970">
        <v>932</v>
      </c>
      <c r="B970" t="s">
        <v>3447</v>
      </c>
      <c r="C970" t="s">
        <v>3327</v>
      </c>
      <c r="D970">
        <v>-112</v>
      </c>
      <c r="F970">
        <v>34.520000000000003</v>
      </c>
      <c r="G970" t="s">
        <v>3327</v>
      </c>
    </row>
    <row r="971" spans="1:7">
      <c r="A971">
        <v>933</v>
      </c>
      <c r="B971" t="s">
        <v>3447</v>
      </c>
      <c r="C971" t="s">
        <v>3327</v>
      </c>
      <c r="D971">
        <v>-113</v>
      </c>
      <c r="F971">
        <v>63.57</v>
      </c>
      <c r="G971" t="s">
        <v>3327</v>
      </c>
    </row>
    <row r="972" spans="1:7">
      <c r="A972">
        <v>934</v>
      </c>
      <c r="B972" t="s">
        <v>3447</v>
      </c>
      <c r="C972" t="s">
        <v>3327</v>
      </c>
      <c r="D972">
        <v>-114</v>
      </c>
      <c r="F972">
        <v>57.85</v>
      </c>
      <c r="G972" t="s">
        <v>3327</v>
      </c>
    </row>
    <row r="973" spans="1:7">
      <c r="A973">
        <v>935</v>
      </c>
      <c r="B973" t="s">
        <v>3447</v>
      </c>
      <c r="C973" t="s">
        <v>3327</v>
      </c>
      <c r="D973">
        <v>-115</v>
      </c>
      <c r="F973">
        <v>30.97</v>
      </c>
      <c r="G973" t="s">
        <v>3327</v>
      </c>
    </row>
    <row r="974" spans="1:7">
      <c r="A974">
        <v>936</v>
      </c>
      <c r="B974" t="s">
        <v>3447</v>
      </c>
      <c r="C974" t="s">
        <v>3327</v>
      </c>
      <c r="D974">
        <v>-116</v>
      </c>
      <c r="F974">
        <v>25.56</v>
      </c>
      <c r="G974" t="s">
        <v>3327</v>
      </c>
    </row>
    <row r="975" spans="1:7">
      <c r="A975">
        <v>937</v>
      </c>
      <c r="B975" t="s">
        <v>3447</v>
      </c>
      <c r="C975" t="s">
        <v>3327</v>
      </c>
      <c r="D975">
        <v>-117</v>
      </c>
      <c r="F975">
        <v>38.43</v>
      </c>
      <c r="G975" t="s">
        <v>3327</v>
      </c>
    </row>
    <row r="976" spans="1:7">
      <c r="A976">
        <v>938</v>
      </c>
      <c r="B976" t="s">
        <v>3447</v>
      </c>
      <c r="C976" t="s">
        <v>3327</v>
      </c>
      <c r="D976">
        <v>-118</v>
      </c>
      <c r="F976">
        <v>33.71</v>
      </c>
      <c r="G976" t="s">
        <v>3327</v>
      </c>
    </row>
    <row r="977" spans="1:7">
      <c r="A977">
        <v>939</v>
      </c>
      <c r="B977" t="s">
        <v>3447</v>
      </c>
      <c r="C977">
        <v>1</v>
      </c>
      <c r="D977">
        <v>201</v>
      </c>
      <c r="F977">
        <v>230.81</v>
      </c>
      <c r="G977" t="s">
        <v>3403</v>
      </c>
    </row>
    <row r="978" spans="1:7">
      <c r="A978">
        <v>940</v>
      </c>
      <c r="B978" t="s">
        <v>3447</v>
      </c>
      <c r="C978">
        <v>1</v>
      </c>
      <c r="D978">
        <v>202</v>
      </c>
      <c r="F978">
        <v>221.77</v>
      </c>
      <c r="G978" t="s">
        <v>3403</v>
      </c>
    </row>
    <row r="979" spans="1:7">
      <c r="A979">
        <v>941</v>
      </c>
      <c r="B979" t="s">
        <v>3447</v>
      </c>
      <c r="C979">
        <v>1</v>
      </c>
      <c r="D979">
        <v>302</v>
      </c>
      <c r="F979">
        <v>221.77</v>
      </c>
      <c r="G979" t="s">
        <v>3403</v>
      </c>
    </row>
    <row r="980" spans="1:7">
      <c r="A980">
        <v>942</v>
      </c>
      <c r="B980" t="s">
        <v>3447</v>
      </c>
      <c r="C980">
        <v>1</v>
      </c>
      <c r="D980">
        <v>402</v>
      </c>
      <c r="F980">
        <v>221.77</v>
      </c>
      <c r="G980" t="s">
        <v>3403</v>
      </c>
    </row>
    <row r="981" spans="1:7">
      <c r="A981">
        <v>943</v>
      </c>
      <c r="B981" t="s">
        <v>3447</v>
      </c>
      <c r="C981" t="s">
        <v>3327</v>
      </c>
      <c r="D981">
        <v>-202</v>
      </c>
      <c r="F981">
        <v>20.2</v>
      </c>
      <c r="G981" t="s">
        <v>3327</v>
      </c>
    </row>
    <row r="982" spans="1:7">
      <c r="A982">
        <v>944</v>
      </c>
      <c r="B982" t="s">
        <v>3447</v>
      </c>
      <c r="C982" t="s">
        <v>3327</v>
      </c>
      <c r="D982">
        <v>-203</v>
      </c>
      <c r="F982">
        <v>17.68</v>
      </c>
      <c r="G982" t="s">
        <v>3327</v>
      </c>
    </row>
    <row r="983" spans="1:7">
      <c r="A983">
        <v>945</v>
      </c>
      <c r="B983" t="s">
        <v>3447</v>
      </c>
      <c r="C983" t="s">
        <v>3327</v>
      </c>
      <c r="D983">
        <v>-204</v>
      </c>
      <c r="F983">
        <v>20.22</v>
      </c>
      <c r="G983" t="s">
        <v>3327</v>
      </c>
    </row>
    <row r="984" spans="1:7">
      <c r="A984">
        <v>946</v>
      </c>
      <c r="B984" t="s">
        <v>3447</v>
      </c>
      <c r="C984">
        <v>2</v>
      </c>
      <c r="D984">
        <v>101</v>
      </c>
      <c r="F984">
        <v>210.91</v>
      </c>
      <c r="G984" t="s">
        <v>3403</v>
      </c>
    </row>
    <row r="985" spans="1:7">
      <c r="A985">
        <v>947</v>
      </c>
      <c r="B985" t="s">
        <v>3447</v>
      </c>
      <c r="C985">
        <v>2</v>
      </c>
      <c r="D985">
        <v>102</v>
      </c>
      <c r="F985">
        <v>219.73</v>
      </c>
      <c r="G985" t="s">
        <v>3403</v>
      </c>
    </row>
    <row r="986" spans="1:7">
      <c r="A986">
        <v>948</v>
      </c>
      <c r="B986" t="s">
        <v>3447</v>
      </c>
      <c r="C986">
        <v>2</v>
      </c>
      <c r="D986">
        <v>201</v>
      </c>
      <c r="F986">
        <v>221.77</v>
      </c>
      <c r="G986" t="s">
        <v>3403</v>
      </c>
    </row>
    <row r="987" spans="1:7">
      <c r="A987">
        <v>949</v>
      </c>
      <c r="B987" t="s">
        <v>3447</v>
      </c>
      <c r="C987">
        <v>2</v>
      </c>
      <c r="D987">
        <v>202</v>
      </c>
      <c r="F987">
        <v>230.81</v>
      </c>
      <c r="G987" t="s">
        <v>3403</v>
      </c>
    </row>
    <row r="988" spans="1:7">
      <c r="A988">
        <v>950</v>
      </c>
      <c r="B988" t="s">
        <v>3447</v>
      </c>
      <c r="C988">
        <v>2</v>
      </c>
      <c r="D988">
        <v>302</v>
      </c>
      <c r="F988">
        <v>230.81</v>
      </c>
      <c r="G988" t="s">
        <v>3403</v>
      </c>
    </row>
    <row r="989" spans="1:7">
      <c r="A989">
        <v>951</v>
      </c>
      <c r="B989" t="s">
        <v>3447</v>
      </c>
      <c r="C989">
        <v>2</v>
      </c>
      <c r="D989">
        <v>402</v>
      </c>
      <c r="F989">
        <v>230.81</v>
      </c>
      <c r="G989" t="s">
        <v>3403</v>
      </c>
    </row>
    <row r="990" spans="1:7">
      <c r="A990">
        <v>952</v>
      </c>
      <c r="B990" t="s">
        <v>3448</v>
      </c>
      <c r="C990" t="s">
        <v>3327</v>
      </c>
      <c r="D990">
        <v>-101</v>
      </c>
      <c r="F990">
        <v>31.06</v>
      </c>
      <c r="G990" t="s">
        <v>3327</v>
      </c>
    </row>
    <row r="991" spans="1:7">
      <c r="A991">
        <v>953</v>
      </c>
      <c r="B991" t="s">
        <v>3448</v>
      </c>
      <c r="C991" t="s">
        <v>3327</v>
      </c>
      <c r="D991">
        <v>-102</v>
      </c>
      <c r="F991">
        <v>16.309999999999999</v>
      </c>
      <c r="G991" t="s">
        <v>3327</v>
      </c>
    </row>
    <row r="992" spans="1:7">
      <c r="A992">
        <v>954</v>
      </c>
      <c r="B992" t="s">
        <v>3448</v>
      </c>
      <c r="C992" t="s">
        <v>3327</v>
      </c>
      <c r="D992">
        <v>-103</v>
      </c>
      <c r="F992">
        <v>46.59</v>
      </c>
      <c r="G992" t="s">
        <v>3327</v>
      </c>
    </row>
    <row r="993" spans="1:7">
      <c r="A993">
        <v>955</v>
      </c>
      <c r="B993" t="s">
        <v>3448</v>
      </c>
      <c r="C993" t="s">
        <v>3327</v>
      </c>
      <c r="D993">
        <v>-104</v>
      </c>
      <c r="F993">
        <v>53.82</v>
      </c>
      <c r="G993" t="s">
        <v>3327</v>
      </c>
    </row>
    <row r="994" spans="1:7">
      <c r="A994">
        <v>956</v>
      </c>
      <c r="B994" t="s">
        <v>3448</v>
      </c>
      <c r="C994" t="s">
        <v>3327</v>
      </c>
      <c r="D994">
        <v>-105</v>
      </c>
      <c r="F994">
        <v>23.68</v>
      </c>
      <c r="G994" t="s">
        <v>3327</v>
      </c>
    </row>
    <row r="995" spans="1:7">
      <c r="A995">
        <v>957</v>
      </c>
      <c r="B995" t="s">
        <v>3448</v>
      </c>
      <c r="C995" t="s">
        <v>3327</v>
      </c>
      <c r="D995">
        <v>-106</v>
      </c>
      <c r="F995">
        <v>23.72</v>
      </c>
      <c r="G995" t="s">
        <v>3327</v>
      </c>
    </row>
    <row r="996" spans="1:7">
      <c r="A996">
        <v>958</v>
      </c>
      <c r="B996" t="s">
        <v>3448</v>
      </c>
      <c r="C996" t="s">
        <v>3327</v>
      </c>
      <c r="D996">
        <v>-107</v>
      </c>
      <c r="F996">
        <v>56.79</v>
      </c>
      <c r="G996" t="s">
        <v>3327</v>
      </c>
    </row>
    <row r="997" spans="1:7">
      <c r="A997">
        <v>959</v>
      </c>
      <c r="B997" t="s">
        <v>3448</v>
      </c>
      <c r="C997" t="s">
        <v>3327</v>
      </c>
      <c r="D997">
        <v>-108</v>
      </c>
      <c r="F997">
        <v>41.5</v>
      </c>
      <c r="G997" t="s">
        <v>3327</v>
      </c>
    </row>
    <row r="998" spans="1:7">
      <c r="A998">
        <v>960</v>
      </c>
      <c r="B998" t="s">
        <v>3448</v>
      </c>
      <c r="C998" t="s">
        <v>3327</v>
      </c>
      <c r="D998">
        <v>-109</v>
      </c>
      <c r="F998">
        <v>41.5</v>
      </c>
      <c r="G998" t="s">
        <v>3327</v>
      </c>
    </row>
    <row r="999" spans="1:7">
      <c r="A999">
        <v>961</v>
      </c>
      <c r="B999" t="s">
        <v>3448</v>
      </c>
      <c r="C999" t="s">
        <v>3327</v>
      </c>
      <c r="D999">
        <v>-110</v>
      </c>
      <c r="F999">
        <v>56.79</v>
      </c>
      <c r="G999" t="s">
        <v>3327</v>
      </c>
    </row>
    <row r="1000" spans="1:7">
      <c r="A1000">
        <v>962</v>
      </c>
      <c r="B1000" t="s">
        <v>3448</v>
      </c>
      <c r="C1000">
        <v>1</v>
      </c>
      <c r="D1000">
        <v>101</v>
      </c>
      <c r="F1000">
        <v>192.52</v>
      </c>
      <c r="G1000" t="s">
        <v>3403</v>
      </c>
    </row>
    <row r="1001" spans="1:7">
      <c r="A1001">
        <v>963</v>
      </c>
      <c r="B1001" t="s">
        <v>3448</v>
      </c>
      <c r="C1001">
        <v>1</v>
      </c>
      <c r="D1001">
        <v>102</v>
      </c>
      <c r="F1001">
        <v>161.83000000000001</v>
      </c>
      <c r="G1001" t="s">
        <v>3403</v>
      </c>
    </row>
    <row r="1002" spans="1:7">
      <c r="A1002">
        <v>964</v>
      </c>
      <c r="B1002" t="s">
        <v>3449</v>
      </c>
      <c r="C1002" t="s">
        <v>3327</v>
      </c>
      <c r="D1002">
        <v>-106</v>
      </c>
      <c r="F1002">
        <v>34.020000000000003</v>
      </c>
      <c r="G1002" t="s">
        <v>3327</v>
      </c>
    </row>
    <row r="1003" spans="1:7">
      <c r="A1003">
        <v>965</v>
      </c>
      <c r="B1003" t="s">
        <v>3449</v>
      </c>
      <c r="C1003" t="s">
        <v>3327</v>
      </c>
      <c r="D1003">
        <v>-107</v>
      </c>
      <c r="F1003">
        <v>62.35</v>
      </c>
      <c r="G1003" t="s">
        <v>3327</v>
      </c>
    </row>
    <row r="1004" spans="1:7">
      <c r="A1004">
        <v>966</v>
      </c>
      <c r="B1004" t="s">
        <v>3449</v>
      </c>
      <c r="C1004" t="s">
        <v>3327</v>
      </c>
      <c r="D1004">
        <v>-108</v>
      </c>
      <c r="F1004">
        <v>47.28</v>
      </c>
      <c r="G1004" t="s">
        <v>3327</v>
      </c>
    </row>
    <row r="1005" spans="1:7">
      <c r="A1005">
        <v>967</v>
      </c>
      <c r="B1005" t="s">
        <v>3449</v>
      </c>
      <c r="C1005" t="s">
        <v>3327</v>
      </c>
      <c r="D1005">
        <v>-109</v>
      </c>
      <c r="F1005">
        <v>47.28</v>
      </c>
      <c r="G1005" t="s">
        <v>3327</v>
      </c>
    </row>
    <row r="1006" spans="1:7">
      <c r="A1006">
        <v>968</v>
      </c>
      <c r="B1006" t="s">
        <v>3448</v>
      </c>
      <c r="C1006" t="s">
        <v>3327</v>
      </c>
      <c r="D1006">
        <v>-111</v>
      </c>
      <c r="F1006">
        <v>23.72</v>
      </c>
      <c r="G1006" t="s">
        <v>3327</v>
      </c>
    </row>
    <row r="1007" spans="1:7">
      <c r="A1007">
        <v>969</v>
      </c>
      <c r="B1007" t="s">
        <v>3449</v>
      </c>
      <c r="C1007" t="s">
        <v>3327</v>
      </c>
      <c r="D1007">
        <v>-110</v>
      </c>
      <c r="F1007">
        <v>62.35</v>
      </c>
      <c r="G1007" t="s">
        <v>3327</v>
      </c>
    </row>
    <row r="1008" spans="1:7">
      <c r="A1008">
        <v>970</v>
      </c>
      <c r="B1008" t="s">
        <v>3449</v>
      </c>
      <c r="C1008">
        <v>1</v>
      </c>
      <c r="D1008">
        <v>102</v>
      </c>
      <c r="F1008">
        <v>210.96</v>
      </c>
      <c r="G1008" t="s">
        <v>3403</v>
      </c>
    </row>
    <row r="1009" spans="1:7">
      <c r="A1009">
        <v>971</v>
      </c>
      <c r="B1009" t="s">
        <v>3449</v>
      </c>
      <c r="C1009" t="s">
        <v>3327</v>
      </c>
      <c r="D1009">
        <v>-111</v>
      </c>
      <c r="F1009">
        <v>34.020000000000003</v>
      </c>
      <c r="G1009" t="s">
        <v>3327</v>
      </c>
    </row>
    <row r="1010" spans="1:7">
      <c r="A1010">
        <v>972</v>
      </c>
      <c r="B1010" t="s">
        <v>3449</v>
      </c>
      <c r="C1010" t="s">
        <v>3327</v>
      </c>
      <c r="D1010">
        <v>-112</v>
      </c>
      <c r="F1010">
        <v>34.020000000000003</v>
      </c>
      <c r="G1010" t="s">
        <v>3327</v>
      </c>
    </row>
    <row r="1011" spans="1:7">
      <c r="A1011">
        <v>973</v>
      </c>
      <c r="B1011" t="s">
        <v>3449</v>
      </c>
      <c r="C1011" t="s">
        <v>3327</v>
      </c>
      <c r="D1011">
        <v>-113</v>
      </c>
      <c r="F1011">
        <v>62.35</v>
      </c>
      <c r="G1011" t="s">
        <v>3327</v>
      </c>
    </row>
    <row r="1012" spans="1:7">
      <c r="A1012">
        <v>974</v>
      </c>
      <c r="B1012" t="s">
        <v>3449</v>
      </c>
      <c r="C1012" t="s">
        <v>3327</v>
      </c>
      <c r="D1012">
        <v>-114</v>
      </c>
      <c r="F1012">
        <v>46.95</v>
      </c>
      <c r="G1012" t="s">
        <v>3327</v>
      </c>
    </row>
    <row r="1013" spans="1:7">
      <c r="A1013">
        <v>975</v>
      </c>
      <c r="B1013" t="s">
        <v>3449</v>
      </c>
      <c r="C1013" t="s">
        <v>3327</v>
      </c>
      <c r="D1013">
        <v>-115</v>
      </c>
      <c r="F1013">
        <v>46.95</v>
      </c>
      <c r="G1013" t="s">
        <v>3327</v>
      </c>
    </row>
    <row r="1014" spans="1:7">
      <c r="A1014">
        <v>976</v>
      </c>
      <c r="B1014" t="s">
        <v>3449</v>
      </c>
      <c r="C1014" t="s">
        <v>3327</v>
      </c>
      <c r="D1014">
        <v>-116</v>
      </c>
      <c r="F1014">
        <v>62.35</v>
      </c>
      <c r="G1014" t="s">
        <v>3327</v>
      </c>
    </row>
    <row r="1015" spans="1:7">
      <c r="A1015">
        <v>977</v>
      </c>
      <c r="B1015" t="s">
        <v>3449</v>
      </c>
      <c r="C1015" t="s">
        <v>3327</v>
      </c>
      <c r="D1015">
        <v>-117</v>
      </c>
      <c r="F1015">
        <v>34.020000000000003</v>
      </c>
      <c r="G1015" t="s">
        <v>3327</v>
      </c>
    </row>
    <row r="1016" spans="1:7">
      <c r="A1016">
        <v>978</v>
      </c>
      <c r="B1016" t="s">
        <v>3449</v>
      </c>
      <c r="C1016" t="s">
        <v>3327</v>
      </c>
      <c r="D1016">
        <v>-118</v>
      </c>
      <c r="F1016">
        <v>34.020000000000003</v>
      </c>
      <c r="G1016" t="s">
        <v>3327</v>
      </c>
    </row>
    <row r="1017" spans="1:7">
      <c r="A1017">
        <v>979</v>
      </c>
      <c r="B1017" t="s">
        <v>3449</v>
      </c>
      <c r="C1017" t="s">
        <v>3327</v>
      </c>
      <c r="D1017">
        <v>-119</v>
      </c>
      <c r="F1017">
        <v>62.64</v>
      </c>
      <c r="G1017" t="s">
        <v>3327</v>
      </c>
    </row>
    <row r="1018" spans="1:7">
      <c r="A1018">
        <v>980</v>
      </c>
      <c r="B1018" t="s">
        <v>3448</v>
      </c>
      <c r="C1018" t="s">
        <v>3327</v>
      </c>
      <c r="D1018">
        <v>-112</v>
      </c>
      <c r="F1018">
        <v>23.68</v>
      </c>
      <c r="G1018" t="s">
        <v>3327</v>
      </c>
    </row>
    <row r="1019" spans="1:7">
      <c r="A1019">
        <v>981</v>
      </c>
      <c r="B1019" t="s">
        <v>3449</v>
      </c>
      <c r="C1019" t="s">
        <v>3327</v>
      </c>
      <c r="D1019">
        <v>-120</v>
      </c>
      <c r="F1019">
        <v>57</v>
      </c>
      <c r="G1019" t="s">
        <v>3327</v>
      </c>
    </row>
    <row r="1020" spans="1:7">
      <c r="A1020">
        <v>982</v>
      </c>
      <c r="B1020" t="s">
        <v>3449</v>
      </c>
      <c r="C1020" t="s">
        <v>3327</v>
      </c>
      <c r="D1020">
        <v>-121</v>
      </c>
      <c r="F1020">
        <v>30.74</v>
      </c>
      <c r="G1020" t="s">
        <v>3327</v>
      </c>
    </row>
    <row r="1021" spans="1:7">
      <c r="A1021">
        <v>983</v>
      </c>
      <c r="B1021" t="s">
        <v>3449</v>
      </c>
      <c r="C1021" t="s">
        <v>3327</v>
      </c>
      <c r="D1021">
        <v>-122</v>
      </c>
      <c r="F1021">
        <v>25.19</v>
      </c>
      <c r="G1021" t="s">
        <v>3327</v>
      </c>
    </row>
    <row r="1022" spans="1:7">
      <c r="A1022">
        <v>984</v>
      </c>
      <c r="B1022" t="s">
        <v>3449</v>
      </c>
      <c r="C1022" t="s">
        <v>3327</v>
      </c>
      <c r="D1022">
        <v>-123</v>
      </c>
      <c r="F1022">
        <v>28.51</v>
      </c>
      <c r="G1022" t="s">
        <v>3327</v>
      </c>
    </row>
    <row r="1023" spans="1:7">
      <c r="A1023">
        <v>985</v>
      </c>
      <c r="B1023" t="s">
        <v>3449</v>
      </c>
      <c r="C1023" t="s">
        <v>3327</v>
      </c>
      <c r="D1023">
        <v>-124</v>
      </c>
      <c r="F1023">
        <v>28.51</v>
      </c>
      <c r="G1023" t="s">
        <v>3327</v>
      </c>
    </row>
    <row r="1024" spans="1:7">
      <c r="A1024">
        <v>986</v>
      </c>
      <c r="B1024" t="s">
        <v>3449</v>
      </c>
      <c r="C1024" t="s">
        <v>3327</v>
      </c>
      <c r="D1024">
        <v>-125</v>
      </c>
      <c r="F1024">
        <v>22.29</v>
      </c>
      <c r="G1024" t="s">
        <v>3327</v>
      </c>
    </row>
    <row r="1025" spans="1:7">
      <c r="A1025">
        <v>987</v>
      </c>
      <c r="B1025" t="s">
        <v>3449</v>
      </c>
      <c r="C1025" t="s">
        <v>3327</v>
      </c>
      <c r="D1025">
        <v>-126</v>
      </c>
      <c r="F1025">
        <v>43.1</v>
      </c>
      <c r="G1025" t="s">
        <v>3327</v>
      </c>
    </row>
    <row r="1026" spans="1:7">
      <c r="A1026">
        <v>988</v>
      </c>
      <c r="B1026" t="s">
        <v>3449</v>
      </c>
      <c r="C1026" t="s">
        <v>3327</v>
      </c>
      <c r="D1026">
        <v>-127</v>
      </c>
      <c r="F1026">
        <v>43.1</v>
      </c>
      <c r="G1026" t="s">
        <v>3327</v>
      </c>
    </row>
    <row r="1027" spans="1:7">
      <c r="A1027">
        <v>989</v>
      </c>
      <c r="B1027" t="s">
        <v>3448</v>
      </c>
      <c r="C1027" t="s">
        <v>3327</v>
      </c>
      <c r="D1027">
        <v>-113</v>
      </c>
      <c r="F1027">
        <v>56.75</v>
      </c>
      <c r="G1027" t="s">
        <v>3327</v>
      </c>
    </row>
    <row r="1028" spans="1:7">
      <c r="A1028">
        <v>990</v>
      </c>
      <c r="B1028" t="s">
        <v>3449</v>
      </c>
      <c r="C1028">
        <v>1</v>
      </c>
      <c r="D1028">
        <v>302</v>
      </c>
      <c r="F1028">
        <v>221.82</v>
      </c>
      <c r="G1028" t="s">
        <v>3403</v>
      </c>
    </row>
    <row r="1029" spans="1:7">
      <c r="A1029">
        <v>991</v>
      </c>
      <c r="B1029" t="s">
        <v>3448</v>
      </c>
      <c r="C1029" t="s">
        <v>3327</v>
      </c>
      <c r="D1029">
        <v>-114</v>
      </c>
      <c r="F1029">
        <v>41.19</v>
      </c>
      <c r="G1029" t="s">
        <v>3327</v>
      </c>
    </row>
    <row r="1030" spans="1:7">
      <c r="A1030">
        <v>992</v>
      </c>
      <c r="B1030" t="s">
        <v>3449</v>
      </c>
      <c r="C1030">
        <v>1</v>
      </c>
      <c r="D1030">
        <v>402</v>
      </c>
      <c r="F1030">
        <v>221.82</v>
      </c>
      <c r="G1030" t="s">
        <v>3403</v>
      </c>
    </row>
    <row r="1031" spans="1:7">
      <c r="A1031">
        <v>993</v>
      </c>
      <c r="B1031" t="s">
        <v>3448</v>
      </c>
      <c r="C1031" t="s">
        <v>3327</v>
      </c>
      <c r="D1031">
        <v>-115</v>
      </c>
      <c r="F1031">
        <v>41.19</v>
      </c>
      <c r="G1031" t="s">
        <v>3327</v>
      </c>
    </row>
    <row r="1032" spans="1:7">
      <c r="A1032">
        <v>994</v>
      </c>
      <c r="B1032" t="s">
        <v>3448</v>
      </c>
      <c r="C1032" t="s">
        <v>3327</v>
      </c>
      <c r="D1032">
        <v>-116</v>
      </c>
      <c r="F1032">
        <v>56.79</v>
      </c>
      <c r="G1032" t="s">
        <v>3327</v>
      </c>
    </row>
    <row r="1033" spans="1:7">
      <c r="A1033">
        <v>995</v>
      </c>
      <c r="B1033" t="s">
        <v>3448</v>
      </c>
      <c r="C1033" t="s">
        <v>3327</v>
      </c>
      <c r="D1033">
        <v>-117</v>
      </c>
      <c r="F1033">
        <v>23.72</v>
      </c>
      <c r="G1033" t="s">
        <v>3327</v>
      </c>
    </row>
    <row r="1034" spans="1:7">
      <c r="A1034">
        <v>996</v>
      </c>
      <c r="B1034" t="s">
        <v>3448</v>
      </c>
      <c r="C1034" t="s">
        <v>3327</v>
      </c>
      <c r="D1034">
        <v>-118</v>
      </c>
      <c r="F1034">
        <v>23.68</v>
      </c>
      <c r="G1034" t="s">
        <v>3327</v>
      </c>
    </row>
    <row r="1035" spans="1:7">
      <c r="A1035">
        <v>997</v>
      </c>
      <c r="B1035" t="s">
        <v>3448</v>
      </c>
      <c r="C1035" t="s">
        <v>3327</v>
      </c>
      <c r="D1035">
        <v>-119</v>
      </c>
      <c r="F1035">
        <v>49.71</v>
      </c>
      <c r="G1035" t="s">
        <v>3327</v>
      </c>
    </row>
    <row r="1036" spans="1:7">
      <c r="A1036">
        <v>998</v>
      </c>
      <c r="B1036" t="s">
        <v>3448</v>
      </c>
      <c r="C1036" t="s">
        <v>3327</v>
      </c>
      <c r="D1036">
        <v>-120</v>
      </c>
      <c r="F1036">
        <v>48.07</v>
      </c>
      <c r="G1036" t="s">
        <v>3327</v>
      </c>
    </row>
    <row r="1037" spans="1:7">
      <c r="A1037">
        <v>999</v>
      </c>
      <c r="B1037" t="s">
        <v>3448</v>
      </c>
      <c r="C1037">
        <v>1</v>
      </c>
      <c r="D1037">
        <v>201</v>
      </c>
      <c r="F1037">
        <v>192.55</v>
      </c>
      <c r="G1037" t="s">
        <v>3403</v>
      </c>
    </row>
    <row r="1038" spans="1:7">
      <c r="A1038">
        <v>1000</v>
      </c>
      <c r="B1038" t="s">
        <v>3449</v>
      </c>
      <c r="C1038" t="s">
        <v>3327</v>
      </c>
      <c r="D1038">
        <v>-202</v>
      </c>
      <c r="F1038">
        <v>19.920000000000002</v>
      </c>
      <c r="G1038" t="s">
        <v>3327</v>
      </c>
    </row>
    <row r="1039" spans="1:7">
      <c r="A1039">
        <v>1001</v>
      </c>
      <c r="B1039" t="s">
        <v>3449</v>
      </c>
      <c r="C1039" t="s">
        <v>3327</v>
      </c>
      <c r="D1039">
        <v>-203</v>
      </c>
      <c r="F1039">
        <v>19.920000000000002</v>
      </c>
      <c r="G1039" t="s">
        <v>3327</v>
      </c>
    </row>
    <row r="1040" spans="1:7">
      <c r="A1040">
        <v>1002</v>
      </c>
      <c r="B1040" t="s">
        <v>3449</v>
      </c>
      <c r="C1040" t="s">
        <v>3327</v>
      </c>
      <c r="D1040">
        <v>-204</v>
      </c>
      <c r="F1040">
        <v>19.920000000000002</v>
      </c>
      <c r="G1040" t="s">
        <v>3327</v>
      </c>
    </row>
    <row r="1041" spans="1:7">
      <c r="A1041">
        <v>1003</v>
      </c>
      <c r="B1041" t="s">
        <v>3449</v>
      </c>
      <c r="C1041" t="s">
        <v>3327</v>
      </c>
      <c r="D1041">
        <v>-205</v>
      </c>
      <c r="F1041">
        <v>19.920000000000002</v>
      </c>
      <c r="G1041" t="s">
        <v>3327</v>
      </c>
    </row>
    <row r="1042" spans="1:7">
      <c r="A1042">
        <v>1004</v>
      </c>
      <c r="B1042" t="s">
        <v>3449</v>
      </c>
      <c r="C1042" t="s">
        <v>3327</v>
      </c>
      <c r="D1042">
        <v>-206</v>
      </c>
      <c r="F1042">
        <v>19.920000000000002</v>
      </c>
      <c r="G1042" t="s">
        <v>3327</v>
      </c>
    </row>
    <row r="1043" spans="1:7">
      <c r="A1043">
        <v>1005</v>
      </c>
      <c r="B1043" t="s">
        <v>3448</v>
      </c>
      <c r="C1043" t="s">
        <v>3327</v>
      </c>
      <c r="D1043">
        <v>-121</v>
      </c>
      <c r="F1043">
        <v>22.85</v>
      </c>
      <c r="G1043" t="s">
        <v>3327</v>
      </c>
    </row>
    <row r="1044" spans="1:7">
      <c r="A1044">
        <v>1006</v>
      </c>
      <c r="B1044" t="s">
        <v>3449</v>
      </c>
      <c r="C1044">
        <v>2</v>
      </c>
      <c r="D1044">
        <v>101</v>
      </c>
      <c r="F1044">
        <v>210.96</v>
      </c>
      <c r="G1044" t="s">
        <v>3403</v>
      </c>
    </row>
    <row r="1045" spans="1:7">
      <c r="A1045">
        <v>1007</v>
      </c>
      <c r="B1045" t="s">
        <v>3449</v>
      </c>
      <c r="C1045">
        <v>2</v>
      </c>
      <c r="D1045">
        <v>102</v>
      </c>
      <c r="F1045">
        <v>210.96</v>
      </c>
      <c r="G1045" t="s">
        <v>3403</v>
      </c>
    </row>
    <row r="1046" spans="1:7">
      <c r="A1046">
        <v>1008</v>
      </c>
      <c r="B1046" t="s">
        <v>3448</v>
      </c>
      <c r="C1046" t="s">
        <v>3327</v>
      </c>
      <c r="D1046">
        <v>-122</v>
      </c>
      <c r="F1046">
        <v>28.04</v>
      </c>
      <c r="G1046" t="s">
        <v>3327</v>
      </c>
    </row>
    <row r="1047" spans="1:7">
      <c r="A1047">
        <v>1009</v>
      </c>
      <c r="B1047" t="s">
        <v>3449</v>
      </c>
      <c r="C1047">
        <v>2</v>
      </c>
      <c r="D1047">
        <v>202</v>
      </c>
      <c r="F1047">
        <v>221.82</v>
      </c>
      <c r="G1047" t="s">
        <v>3403</v>
      </c>
    </row>
    <row r="1048" spans="1:7">
      <c r="A1048">
        <v>1010</v>
      </c>
      <c r="B1048" t="s">
        <v>3448</v>
      </c>
      <c r="C1048" t="s">
        <v>3327</v>
      </c>
      <c r="D1048">
        <v>-123</v>
      </c>
      <c r="F1048">
        <v>27.68</v>
      </c>
      <c r="G1048" t="s">
        <v>3327</v>
      </c>
    </row>
    <row r="1049" spans="1:7">
      <c r="A1049">
        <v>1011</v>
      </c>
      <c r="B1049" t="s">
        <v>3449</v>
      </c>
      <c r="C1049">
        <v>2</v>
      </c>
      <c r="D1049">
        <v>302</v>
      </c>
      <c r="F1049">
        <v>221.82</v>
      </c>
      <c r="G1049" t="s">
        <v>3403</v>
      </c>
    </row>
    <row r="1050" spans="1:7">
      <c r="A1050">
        <v>1012</v>
      </c>
      <c r="B1050" t="s">
        <v>3448</v>
      </c>
      <c r="C1050" t="s">
        <v>3327</v>
      </c>
      <c r="D1050">
        <v>-124</v>
      </c>
      <c r="F1050">
        <v>19.190000000000001</v>
      </c>
      <c r="G1050" t="s">
        <v>3327</v>
      </c>
    </row>
    <row r="1051" spans="1:7">
      <c r="A1051">
        <v>1013</v>
      </c>
      <c r="B1051" t="s">
        <v>3448</v>
      </c>
      <c r="C1051" t="s">
        <v>3327</v>
      </c>
      <c r="D1051">
        <v>-125</v>
      </c>
      <c r="F1051">
        <v>19.190000000000001</v>
      </c>
      <c r="G1051" t="s">
        <v>3327</v>
      </c>
    </row>
    <row r="1052" spans="1:7">
      <c r="A1052">
        <v>1014</v>
      </c>
      <c r="B1052" t="s">
        <v>3448</v>
      </c>
      <c r="C1052" t="s">
        <v>3327</v>
      </c>
      <c r="D1052">
        <v>-126</v>
      </c>
      <c r="F1052">
        <v>27.85</v>
      </c>
      <c r="G1052" t="s">
        <v>3327</v>
      </c>
    </row>
    <row r="1053" spans="1:7">
      <c r="A1053">
        <v>1015</v>
      </c>
      <c r="B1053" t="s">
        <v>3448</v>
      </c>
      <c r="C1053" t="s">
        <v>3327</v>
      </c>
      <c r="D1053">
        <v>-127</v>
      </c>
      <c r="F1053">
        <v>27.68</v>
      </c>
      <c r="G1053" t="s">
        <v>3327</v>
      </c>
    </row>
    <row r="1054" spans="1:7">
      <c r="A1054">
        <v>1016</v>
      </c>
      <c r="B1054" t="s">
        <v>3448</v>
      </c>
      <c r="C1054" t="s">
        <v>3327</v>
      </c>
      <c r="D1054">
        <v>-128</v>
      </c>
      <c r="F1054">
        <v>19.829999999999998</v>
      </c>
      <c r="G1054" t="s">
        <v>3327</v>
      </c>
    </row>
    <row r="1055" spans="1:7">
      <c r="A1055">
        <v>1017</v>
      </c>
      <c r="B1055" t="s">
        <v>3448</v>
      </c>
      <c r="C1055" t="s">
        <v>3327</v>
      </c>
      <c r="D1055">
        <v>-129</v>
      </c>
      <c r="F1055">
        <v>19.829999999999998</v>
      </c>
      <c r="G1055" t="s">
        <v>3327</v>
      </c>
    </row>
    <row r="1056" spans="1:7">
      <c r="A1056">
        <v>1018</v>
      </c>
      <c r="B1056" t="s">
        <v>3448</v>
      </c>
      <c r="C1056" t="s">
        <v>3327</v>
      </c>
      <c r="D1056">
        <v>-130</v>
      </c>
      <c r="F1056">
        <v>27.68</v>
      </c>
      <c r="G1056" t="s">
        <v>3327</v>
      </c>
    </row>
    <row r="1057" spans="1:7">
      <c r="A1057">
        <v>1019</v>
      </c>
      <c r="B1057" t="s">
        <v>3448</v>
      </c>
      <c r="C1057">
        <v>1</v>
      </c>
      <c r="D1057">
        <v>301</v>
      </c>
      <c r="F1057">
        <v>192.55</v>
      </c>
      <c r="G1057" t="s">
        <v>3403</v>
      </c>
    </row>
    <row r="1058" spans="1:7">
      <c r="A1058">
        <v>1020</v>
      </c>
      <c r="B1058" t="s">
        <v>3449</v>
      </c>
      <c r="C1058">
        <v>3</v>
      </c>
      <c r="D1058">
        <v>101</v>
      </c>
      <c r="F1058">
        <v>210.96</v>
      </c>
      <c r="G1058" t="s">
        <v>3403</v>
      </c>
    </row>
    <row r="1059" spans="1:7">
      <c r="A1059">
        <v>1021</v>
      </c>
      <c r="B1059" t="s">
        <v>3449</v>
      </c>
      <c r="C1059">
        <v>3</v>
      </c>
      <c r="D1059">
        <v>102</v>
      </c>
      <c r="F1059">
        <v>219.78</v>
      </c>
      <c r="G1059" t="s">
        <v>3403</v>
      </c>
    </row>
    <row r="1060" spans="1:7">
      <c r="A1060">
        <v>1022</v>
      </c>
      <c r="B1060" t="s">
        <v>3449</v>
      </c>
      <c r="C1060">
        <v>3</v>
      </c>
      <c r="D1060">
        <v>201</v>
      </c>
      <c r="F1060">
        <v>221.82</v>
      </c>
      <c r="G1060" t="s">
        <v>3403</v>
      </c>
    </row>
    <row r="1061" spans="1:7">
      <c r="A1061">
        <v>1023</v>
      </c>
      <c r="B1061" t="s">
        <v>3449</v>
      </c>
      <c r="C1061">
        <v>3</v>
      </c>
      <c r="D1061">
        <v>202</v>
      </c>
      <c r="F1061">
        <v>230.86</v>
      </c>
      <c r="G1061" t="s">
        <v>3403</v>
      </c>
    </row>
    <row r="1062" spans="1:7">
      <c r="A1062">
        <v>1024</v>
      </c>
      <c r="B1062" t="s">
        <v>3449</v>
      </c>
      <c r="C1062">
        <v>3</v>
      </c>
      <c r="D1062">
        <v>302</v>
      </c>
      <c r="F1062">
        <v>230.86</v>
      </c>
      <c r="G1062" t="s">
        <v>3403</v>
      </c>
    </row>
    <row r="1063" spans="1:7">
      <c r="A1063">
        <v>1025</v>
      </c>
      <c r="B1063" t="s">
        <v>3449</v>
      </c>
      <c r="C1063">
        <v>3</v>
      </c>
      <c r="D1063">
        <v>402</v>
      </c>
      <c r="F1063">
        <v>230.86</v>
      </c>
      <c r="G1063" t="s">
        <v>3403</v>
      </c>
    </row>
    <row r="1064" spans="1:7">
      <c r="A1064">
        <v>1026</v>
      </c>
      <c r="B1064" t="s">
        <v>3448</v>
      </c>
      <c r="C1064">
        <v>1</v>
      </c>
      <c r="D1064">
        <v>402</v>
      </c>
      <c r="F1064">
        <v>184.49</v>
      </c>
      <c r="G1064" t="s">
        <v>3403</v>
      </c>
    </row>
    <row r="1065" spans="1:7">
      <c r="A1065">
        <v>1027</v>
      </c>
      <c r="B1065" t="s">
        <v>3448</v>
      </c>
      <c r="C1065" t="s">
        <v>3327</v>
      </c>
      <c r="D1065">
        <v>-201</v>
      </c>
      <c r="F1065">
        <v>19.170000000000002</v>
      </c>
      <c r="G1065" t="s">
        <v>3327</v>
      </c>
    </row>
    <row r="1066" spans="1:7">
      <c r="A1066">
        <v>1028</v>
      </c>
      <c r="B1066" t="s">
        <v>3448</v>
      </c>
      <c r="C1066" t="s">
        <v>3327</v>
      </c>
      <c r="D1066">
        <v>-202</v>
      </c>
      <c r="F1066">
        <v>16.38</v>
      </c>
      <c r="G1066" t="s">
        <v>3327</v>
      </c>
    </row>
    <row r="1067" spans="1:7">
      <c r="A1067">
        <v>1029</v>
      </c>
      <c r="B1067" t="s">
        <v>3448</v>
      </c>
      <c r="C1067" t="s">
        <v>3327</v>
      </c>
      <c r="D1067">
        <v>-203</v>
      </c>
      <c r="F1067">
        <v>12.42</v>
      </c>
      <c r="G1067" t="s">
        <v>3327</v>
      </c>
    </row>
    <row r="1068" spans="1:7">
      <c r="A1068">
        <v>1030</v>
      </c>
      <c r="B1068" t="s">
        <v>3448</v>
      </c>
      <c r="C1068" t="s">
        <v>3327</v>
      </c>
      <c r="D1068">
        <v>-204</v>
      </c>
      <c r="F1068">
        <v>16.38</v>
      </c>
      <c r="G1068" t="s">
        <v>3327</v>
      </c>
    </row>
    <row r="1069" spans="1:7">
      <c r="A1069">
        <v>1031</v>
      </c>
      <c r="B1069" t="s">
        <v>3448</v>
      </c>
      <c r="C1069" t="s">
        <v>3327</v>
      </c>
      <c r="D1069">
        <v>-205</v>
      </c>
      <c r="F1069">
        <v>16.38</v>
      </c>
      <c r="G1069" t="s">
        <v>3327</v>
      </c>
    </row>
    <row r="1070" spans="1:7">
      <c r="A1070">
        <v>1032</v>
      </c>
      <c r="B1070" t="s">
        <v>3448</v>
      </c>
      <c r="C1070" t="s">
        <v>3327</v>
      </c>
      <c r="D1070">
        <v>-206</v>
      </c>
      <c r="F1070">
        <v>17.059999999999999</v>
      </c>
      <c r="G1070" t="s">
        <v>3327</v>
      </c>
    </row>
    <row r="1071" spans="1:7">
      <c r="A1071">
        <v>1033</v>
      </c>
      <c r="B1071" t="s">
        <v>3450</v>
      </c>
      <c r="C1071" t="s">
        <v>3327</v>
      </c>
      <c r="D1071">
        <v>-101</v>
      </c>
      <c r="F1071">
        <v>15.2</v>
      </c>
      <c r="G1071" t="s">
        <v>3327</v>
      </c>
    </row>
    <row r="1072" spans="1:7">
      <c r="A1072">
        <v>1034</v>
      </c>
      <c r="B1072" t="s">
        <v>3448</v>
      </c>
      <c r="C1072">
        <v>2</v>
      </c>
      <c r="D1072">
        <v>101</v>
      </c>
      <c r="F1072">
        <v>161.83000000000001</v>
      </c>
      <c r="G1072" t="s">
        <v>3403</v>
      </c>
    </row>
    <row r="1073" spans="1:7">
      <c r="A1073">
        <v>1035</v>
      </c>
      <c r="B1073" t="s">
        <v>3450</v>
      </c>
      <c r="C1073" t="s">
        <v>3327</v>
      </c>
      <c r="D1073">
        <v>-102</v>
      </c>
      <c r="F1073">
        <v>54.63</v>
      </c>
      <c r="G1073" t="s">
        <v>3327</v>
      </c>
    </row>
    <row r="1074" spans="1:7">
      <c r="A1074">
        <v>1036</v>
      </c>
      <c r="B1074" t="s">
        <v>3448</v>
      </c>
      <c r="C1074">
        <v>2</v>
      </c>
      <c r="D1074">
        <v>102</v>
      </c>
      <c r="F1074">
        <v>184.45</v>
      </c>
      <c r="G1074" t="s">
        <v>3403</v>
      </c>
    </row>
    <row r="1075" spans="1:7">
      <c r="A1075">
        <v>1037</v>
      </c>
      <c r="B1075" t="s">
        <v>3450</v>
      </c>
      <c r="C1075" t="s">
        <v>3327</v>
      </c>
      <c r="D1075">
        <v>-103</v>
      </c>
      <c r="F1075">
        <v>47.35</v>
      </c>
      <c r="G1075" t="s">
        <v>3327</v>
      </c>
    </row>
    <row r="1076" spans="1:7">
      <c r="A1076">
        <v>1038</v>
      </c>
      <c r="B1076" t="s">
        <v>3450</v>
      </c>
      <c r="C1076" t="s">
        <v>3327</v>
      </c>
      <c r="D1076">
        <v>-104</v>
      </c>
      <c r="F1076">
        <v>62.57</v>
      </c>
      <c r="G1076" t="s">
        <v>3327</v>
      </c>
    </row>
    <row r="1077" spans="1:7">
      <c r="A1077">
        <v>1039</v>
      </c>
      <c r="B1077" t="s">
        <v>3450</v>
      </c>
      <c r="C1077" t="s">
        <v>3327</v>
      </c>
      <c r="D1077">
        <v>-105</v>
      </c>
      <c r="F1077">
        <v>61.61</v>
      </c>
      <c r="G1077" t="s">
        <v>3327</v>
      </c>
    </row>
    <row r="1078" spans="1:7">
      <c r="A1078">
        <v>1040</v>
      </c>
      <c r="B1078" t="s">
        <v>3450</v>
      </c>
      <c r="C1078" t="s">
        <v>3327</v>
      </c>
      <c r="D1078">
        <v>-106</v>
      </c>
      <c r="F1078">
        <v>61.61</v>
      </c>
      <c r="G1078" t="s">
        <v>3327</v>
      </c>
    </row>
    <row r="1079" spans="1:7">
      <c r="A1079">
        <v>1041</v>
      </c>
      <c r="B1079" t="s">
        <v>3450</v>
      </c>
      <c r="C1079" t="s">
        <v>3327</v>
      </c>
      <c r="D1079">
        <v>-107</v>
      </c>
      <c r="F1079">
        <v>62.57</v>
      </c>
      <c r="G1079" t="s">
        <v>3327</v>
      </c>
    </row>
    <row r="1080" spans="1:7">
      <c r="A1080">
        <v>1042</v>
      </c>
      <c r="B1080" t="s">
        <v>3450</v>
      </c>
      <c r="C1080" t="s">
        <v>3327</v>
      </c>
      <c r="D1080">
        <v>-108</v>
      </c>
      <c r="F1080">
        <v>47.35</v>
      </c>
      <c r="G1080" t="s">
        <v>3327</v>
      </c>
    </row>
    <row r="1081" spans="1:7">
      <c r="A1081">
        <v>1043</v>
      </c>
      <c r="B1081" t="s">
        <v>3450</v>
      </c>
      <c r="C1081" t="s">
        <v>3327</v>
      </c>
      <c r="D1081">
        <v>-109</v>
      </c>
      <c r="F1081">
        <v>42.93</v>
      </c>
      <c r="G1081" t="s">
        <v>3327</v>
      </c>
    </row>
    <row r="1082" spans="1:7">
      <c r="A1082">
        <v>1044</v>
      </c>
      <c r="B1082" t="s">
        <v>3450</v>
      </c>
      <c r="C1082" t="s">
        <v>3327</v>
      </c>
      <c r="D1082">
        <v>-110</v>
      </c>
      <c r="F1082">
        <v>42.93</v>
      </c>
      <c r="G1082" t="s">
        <v>3327</v>
      </c>
    </row>
    <row r="1083" spans="1:7">
      <c r="A1083">
        <v>1045</v>
      </c>
      <c r="B1083" t="s">
        <v>3450</v>
      </c>
      <c r="C1083">
        <v>1</v>
      </c>
      <c r="D1083">
        <v>101</v>
      </c>
      <c r="F1083">
        <v>272.93</v>
      </c>
      <c r="G1083" t="s">
        <v>3403</v>
      </c>
    </row>
    <row r="1084" spans="1:7">
      <c r="A1084">
        <v>1046</v>
      </c>
      <c r="B1084" t="s">
        <v>3450</v>
      </c>
      <c r="C1084">
        <v>1</v>
      </c>
      <c r="D1084">
        <v>102</v>
      </c>
      <c r="F1084">
        <v>271.76</v>
      </c>
      <c r="G1084" t="s">
        <v>3403</v>
      </c>
    </row>
    <row r="1085" spans="1:7">
      <c r="A1085">
        <v>1047</v>
      </c>
      <c r="B1085" t="s">
        <v>3450</v>
      </c>
      <c r="C1085" t="s">
        <v>3327</v>
      </c>
      <c r="D1085">
        <v>-111</v>
      </c>
      <c r="F1085">
        <v>47.35</v>
      </c>
      <c r="G1085" t="s">
        <v>3327</v>
      </c>
    </row>
    <row r="1086" spans="1:7">
      <c r="A1086">
        <v>1048</v>
      </c>
      <c r="B1086" t="s">
        <v>3450</v>
      </c>
      <c r="C1086" t="s">
        <v>3327</v>
      </c>
      <c r="D1086">
        <v>-112</v>
      </c>
      <c r="F1086">
        <v>62.57</v>
      </c>
      <c r="G1086" t="s">
        <v>3327</v>
      </c>
    </row>
    <row r="1087" spans="1:7">
      <c r="A1087">
        <v>1049</v>
      </c>
      <c r="B1087" t="s">
        <v>3450</v>
      </c>
      <c r="C1087" t="s">
        <v>3327</v>
      </c>
      <c r="D1087">
        <v>-113</v>
      </c>
      <c r="F1087">
        <v>61.61</v>
      </c>
      <c r="G1087" t="s">
        <v>3327</v>
      </c>
    </row>
    <row r="1088" spans="1:7">
      <c r="A1088">
        <v>1050</v>
      </c>
      <c r="B1088" t="s">
        <v>3450</v>
      </c>
      <c r="C1088" t="s">
        <v>3327</v>
      </c>
      <c r="D1088">
        <v>-114</v>
      </c>
      <c r="F1088">
        <v>61.61</v>
      </c>
      <c r="G1088" t="s">
        <v>3327</v>
      </c>
    </row>
    <row r="1089" spans="1:7">
      <c r="A1089">
        <v>1051</v>
      </c>
      <c r="B1089" t="s">
        <v>3450</v>
      </c>
      <c r="C1089" t="s">
        <v>3327</v>
      </c>
      <c r="D1089">
        <v>-115</v>
      </c>
      <c r="F1089">
        <v>62.57</v>
      </c>
      <c r="G1089" t="s">
        <v>3327</v>
      </c>
    </row>
    <row r="1090" spans="1:7">
      <c r="A1090">
        <v>1052</v>
      </c>
      <c r="B1090" t="s">
        <v>3450</v>
      </c>
      <c r="C1090" t="s">
        <v>3327</v>
      </c>
      <c r="D1090">
        <v>-116</v>
      </c>
      <c r="F1090">
        <v>47.35</v>
      </c>
      <c r="G1090" t="s">
        <v>3327</v>
      </c>
    </row>
    <row r="1091" spans="1:7">
      <c r="A1091">
        <v>1053</v>
      </c>
      <c r="B1091" t="s">
        <v>3450</v>
      </c>
      <c r="C1091" t="s">
        <v>3327</v>
      </c>
      <c r="D1091">
        <v>-117</v>
      </c>
      <c r="F1091">
        <v>62.75</v>
      </c>
      <c r="G1091" t="s">
        <v>3327</v>
      </c>
    </row>
    <row r="1092" spans="1:7">
      <c r="A1092">
        <v>1054</v>
      </c>
      <c r="B1092" t="s">
        <v>3450</v>
      </c>
      <c r="C1092" t="s">
        <v>3327</v>
      </c>
      <c r="D1092">
        <v>-118</v>
      </c>
      <c r="F1092">
        <v>15.15</v>
      </c>
      <c r="G1092" t="s">
        <v>3327</v>
      </c>
    </row>
    <row r="1093" spans="1:7">
      <c r="A1093">
        <v>1055</v>
      </c>
      <c r="B1093" t="s">
        <v>3450</v>
      </c>
      <c r="C1093" t="s">
        <v>3327</v>
      </c>
      <c r="D1093">
        <v>-119</v>
      </c>
      <c r="F1093">
        <v>14.96</v>
      </c>
      <c r="G1093" t="s">
        <v>3327</v>
      </c>
    </row>
    <row r="1094" spans="1:7">
      <c r="A1094">
        <v>1056</v>
      </c>
      <c r="B1094" t="s">
        <v>3450</v>
      </c>
      <c r="C1094" t="s">
        <v>3327</v>
      </c>
      <c r="D1094">
        <v>-120</v>
      </c>
      <c r="F1094">
        <v>14.96</v>
      </c>
      <c r="G1094" t="s">
        <v>3327</v>
      </c>
    </row>
    <row r="1095" spans="1:7">
      <c r="A1095">
        <v>1057</v>
      </c>
      <c r="B1095" t="s">
        <v>3450</v>
      </c>
      <c r="C1095">
        <v>1</v>
      </c>
      <c r="D1095">
        <v>201</v>
      </c>
      <c r="F1095">
        <v>272.99</v>
      </c>
      <c r="G1095" t="s">
        <v>3403</v>
      </c>
    </row>
    <row r="1096" spans="1:7">
      <c r="A1096">
        <v>1058</v>
      </c>
      <c r="B1096" t="s">
        <v>3450</v>
      </c>
      <c r="C1096">
        <v>1</v>
      </c>
      <c r="D1096">
        <v>202</v>
      </c>
      <c r="F1096">
        <v>271.82</v>
      </c>
      <c r="G1096" t="s">
        <v>3403</v>
      </c>
    </row>
    <row r="1097" spans="1:7">
      <c r="A1097">
        <v>1059</v>
      </c>
      <c r="B1097" t="s">
        <v>3450</v>
      </c>
      <c r="C1097">
        <v>1</v>
      </c>
      <c r="D1097">
        <v>301</v>
      </c>
      <c r="F1097">
        <v>272.99</v>
      </c>
      <c r="G1097" t="s">
        <v>3403</v>
      </c>
    </row>
    <row r="1098" spans="1:7">
      <c r="A1098">
        <v>1060</v>
      </c>
      <c r="B1098" t="s">
        <v>3450</v>
      </c>
      <c r="C1098">
        <v>1</v>
      </c>
      <c r="D1098">
        <v>302</v>
      </c>
      <c r="F1098">
        <v>271.82</v>
      </c>
      <c r="G1098" t="s">
        <v>3403</v>
      </c>
    </row>
    <row r="1099" spans="1:7">
      <c r="A1099">
        <v>1061</v>
      </c>
      <c r="B1099" t="s">
        <v>3450</v>
      </c>
      <c r="C1099">
        <v>1</v>
      </c>
      <c r="D1099">
        <v>401</v>
      </c>
      <c r="F1099">
        <v>272.99</v>
      </c>
      <c r="G1099" t="s">
        <v>3403</v>
      </c>
    </row>
    <row r="1100" spans="1:7">
      <c r="A1100">
        <v>1062</v>
      </c>
      <c r="B1100" t="s">
        <v>3450</v>
      </c>
      <c r="C1100">
        <v>1</v>
      </c>
      <c r="D1100">
        <v>402</v>
      </c>
      <c r="F1100">
        <v>271.82</v>
      </c>
      <c r="G1100" t="s">
        <v>3403</v>
      </c>
    </row>
    <row r="1101" spans="1:7">
      <c r="A1101">
        <v>1063</v>
      </c>
      <c r="B1101" t="s">
        <v>3450</v>
      </c>
      <c r="C1101" t="s">
        <v>3327</v>
      </c>
      <c r="D1101">
        <v>-201</v>
      </c>
      <c r="F1101">
        <v>22.98</v>
      </c>
      <c r="G1101" t="s">
        <v>3327</v>
      </c>
    </row>
    <row r="1102" spans="1:7">
      <c r="A1102">
        <v>1064</v>
      </c>
      <c r="B1102" t="s">
        <v>3450</v>
      </c>
      <c r="C1102" t="s">
        <v>3327</v>
      </c>
      <c r="D1102">
        <v>-202</v>
      </c>
      <c r="F1102">
        <v>22.98</v>
      </c>
      <c r="G1102" t="s">
        <v>3327</v>
      </c>
    </row>
    <row r="1103" spans="1:7">
      <c r="A1103">
        <v>1065</v>
      </c>
      <c r="B1103" t="s">
        <v>3448</v>
      </c>
      <c r="C1103">
        <v>2</v>
      </c>
      <c r="D1103">
        <v>202</v>
      </c>
      <c r="F1103">
        <v>184.49</v>
      </c>
      <c r="G1103" t="s">
        <v>3403</v>
      </c>
    </row>
    <row r="1104" spans="1:7">
      <c r="A1104">
        <v>1066</v>
      </c>
      <c r="B1104" t="s">
        <v>3450</v>
      </c>
      <c r="C1104" t="s">
        <v>3327</v>
      </c>
      <c r="D1104">
        <v>-203</v>
      </c>
      <c r="F1104">
        <v>22.98</v>
      </c>
      <c r="G1104" t="s">
        <v>3327</v>
      </c>
    </row>
    <row r="1105" spans="1:7">
      <c r="A1105">
        <v>1067</v>
      </c>
      <c r="B1105" t="s">
        <v>3450</v>
      </c>
      <c r="C1105" t="s">
        <v>3327</v>
      </c>
      <c r="D1105">
        <v>-204</v>
      </c>
      <c r="F1105">
        <v>21.55</v>
      </c>
      <c r="G1105" t="s">
        <v>3327</v>
      </c>
    </row>
    <row r="1106" spans="1:7">
      <c r="A1106">
        <v>1068</v>
      </c>
      <c r="B1106" t="s">
        <v>3450</v>
      </c>
      <c r="C1106">
        <v>2</v>
      </c>
      <c r="D1106">
        <v>101</v>
      </c>
      <c r="F1106">
        <v>271.76</v>
      </c>
      <c r="G1106" t="s">
        <v>3403</v>
      </c>
    </row>
    <row r="1107" spans="1:7">
      <c r="A1107">
        <v>1069</v>
      </c>
      <c r="B1107" t="s">
        <v>3450</v>
      </c>
      <c r="C1107">
        <v>2</v>
      </c>
      <c r="D1107">
        <v>102</v>
      </c>
      <c r="F1107">
        <v>272.93</v>
      </c>
      <c r="G1107" t="s">
        <v>3403</v>
      </c>
    </row>
    <row r="1108" spans="1:7">
      <c r="A1108">
        <v>1070</v>
      </c>
      <c r="B1108" t="s">
        <v>3450</v>
      </c>
      <c r="C1108">
        <v>2</v>
      </c>
      <c r="D1108">
        <v>201</v>
      </c>
      <c r="F1108">
        <v>271.82</v>
      </c>
      <c r="G1108" t="s">
        <v>3403</v>
      </c>
    </row>
    <row r="1109" spans="1:7">
      <c r="A1109">
        <v>1071</v>
      </c>
      <c r="B1109" t="s">
        <v>3450</v>
      </c>
      <c r="C1109">
        <v>2</v>
      </c>
      <c r="D1109">
        <v>301</v>
      </c>
      <c r="F1109">
        <v>271.82</v>
      </c>
      <c r="G1109" t="s">
        <v>3403</v>
      </c>
    </row>
    <row r="1110" spans="1:7">
      <c r="A1110">
        <v>1072</v>
      </c>
      <c r="B1110" t="s">
        <v>3450</v>
      </c>
      <c r="C1110">
        <v>2</v>
      </c>
      <c r="D1110">
        <v>401</v>
      </c>
      <c r="F1110">
        <v>271.82</v>
      </c>
      <c r="G1110" t="s">
        <v>3403</v>
      </c>
    </row>
    <row r="1111" spans="1:7">
      <c r="A1111">
        <v>1073</v>
      </c>
      <c r="B1111" t="s">
        <v>3448</v>
      </c>
      <c r="C1111">
        <v>2</v>
      </c>
      <c r="D1111">
        <v>301</v>
      </c>
      <c r="F1111">
        <v>184.49</v>
      </c>
      <c r="G1111" t="s">
        <v>3403</v>
      </c>
    </row>
    <row r="1112" spans="1:7">
      <c r="A1112">
        <v>1074</v>
      </c>
      <c r="B1112" t="s">
        <v>3448</v>
      </c>
      <c r="C1112">
        <v>2</v>
      </c>
      <c r="D1112">
        <v>302</v>
      </c>
      <c r="F1112">
        <v>184.49</v>
      </c>
      <c r="G1112" t="s">
        <v>3403</v>
      </c>
    </row>
    <row r="1113" spans="1:7">
      <c r="A1113">
        <v>1075</v>
      </c>
      <c r="B1113" t="s">
        <v>3448</v>
      </c>
      <c r="C1113">
        <v>2</v>
      </c>
      <c r="D1113">
        <v>401</v>
      </c>
      <c r="F1113">
        <v>184.49</v>
      </c>
      <c r="G1113" t="s">
        <v>3403</v>
      </c>
    </row>
    <row r="1114" spans="1:7">
      <c r="A1114">
        <v>1076</v>
      </c>
      <c r="B1114" t="s">
        <v>3448</v>
      </c>
      <c r="C1114">
        <v>3</v>
      </c>
      <c r="D1114">
        <v>101</v>
      </c>
      <c r="F1114">
        <v>161.83000000000001</v>
      </c>
      <c r="G1114" t="s">
        <v>3403</v>
      </c>
    </row>
    <row r="1115" spans="1:7">
      <c r="A1115">
        <v>1077</v>
      </c>
      <c r="B1115" t="s">
        <v>3448</v>
      </c>
      <c r="C1115">
        <v>3</v>
      </c>
      <c r="D1115">
        <v>102</v>
      </c>
      <c r="F1115">
        <v>184.95</v>
      </c>
      <c r="G1115" t="s">
        <v>3403</v>
      </c>
    </row>
    <row r="1116" spans="1:7">
      <c r="A1116">
        <v>1078</v>
      </c>
      <c r="B1116" t="s">
        <v>3448</v>
      </c>
      <c r="C1116">
        <v>3</v>
      </c>
      <c r="D1116">
        <v>201</v>
      </c>
      <c r="F1116">
        <v>184.49</v>
      </c>
      <c r="G1116" t="s">
        <v>3403</v>
      </c>
    </row>
    <row r="1117" spans="1:7">
      <c r="A1117">
        <v>1079</v>
      </c>
      <c r="B1117" t="s">
        <v>3448</v>
      </c>
      <c r="C1117">
        <v>3</v>
      </c>
      <c r="D1117">
        <v>202</v>
      </c>
      <c r="F1117">
        <v>184.99</v>
      </c>
      <c r="G1117" t="s">
        <v>3403</v>
      </c>
    </row>
    <row r="1118" spans="1:7">
      <c r="A1118">
        <v>1080</v>
      </c>
      <c r="B1118" t="s">
        <v>3448</v>
      </c>
      <c r="C1118">
        <v>3</v>
      </c>
      <c r="D1118">
        <v>301</v>
      </c>
      <c r="F1118">
        <v>184.49</v>
      </c>
      <c r="G1118" t="s">
        <v>3403</v>
      </c>
    </row>
    <row r="1119" spans="1:7">
      <c r="A1119">
        <v>1081</v>
      </c>
      <c r="B1119" t="s">
        <v>3448</v>
      </c>
      <c r="C1119">
        <v>3</v>
      </c>
      <c r="D1119">
        <v>302</v>
      </c>
      <c r="F1119">
        <v>184.99</v>
      </c>
      <c r="G1119" t="s">
        <v>3403</v>
      </c>
    </row>
    <row r="1120" spans="1:7">
      <c r="A1120">
        <v>1082</v>
      </c>
      <c r="B1120" t="s">
        <v>3448</v>
      </c>
      <c r="C1120">
        <v>3</v>
      </c>
      <c r="D1120">
        <v>401</v>
      </c>
      <c r="F1120">
        <v>184.49</v>
      </c>
      <c r="G1120" t="s">
        <v>3403</v>
      </c>
    </row>
    <row r="1121" spans="1:7">
      <c r="A1121">
        <v>1083</v>
      </c>
      <c r="B1121" t="s">
        <v>3448</v>
      </c>
      <c r="C1121">
        <v>3</v>
      </c>
      <c r="D1121">
        <v>402</v>
      </c>
      <c r="F1121">
        <v>184.99</v>
      </c>
      <c r="G1121" t="s">
        <v>3403</v>
      </c>
    </row>
    <row r="1122" spans="1:7">
      <c r="A1122">
        <v>1084</v>
      </c>
      <c r="B1122" t="s">
        <v>3451</v>
      </c>
      <c r="C1122" t="s">
        <v>3327</v>
      </c>
      <c r="D1122">
        <v>-101</v>
      </c>
      <c r="F1122">
        <v>24.8</v>
      </c>
      <c r="G1122" t="s">
        <v>3327</v>
      </c>
    </row>
    <row r="1123" spans="1:7">
      <c r="A1123">
        <v>1085</v>
      </c>
      <c r="B1123" t="s">
        <v>3451</v>
      </c>
      <c r="C1123" t="s">
        <v>3327</v>
      </c>
      <c r="D1123">
        <v>-102</v>
      </c>
      <c r="F1123">
        <v>30.27</v>
      </c>
      <c r="G1123" t="s">
        <v>3327</v>
      </c>
    </row>
    <row r="1124" spans="1:7">
      <c r="A1124">
        <v>1086</v>
      </c>
      <c r="B1124" t="s">
        <v>3451</v>
      </c>
      <c r="C1124" t="s">
        <v>3327</v>
      </c>
      <c r="D1124">
        <v>-103</v>
      </c>
      <c r="F1124">
        <v>56.13</v>
      </c>
      <c r="G1124" t="s">
        <v>3327</v>
      </c>
    </row>
    <row r="1125" spans="1:7">
      <c r="A1125">
        <v>1087</v>
      </c>
      <c r="B1125" t="s">
        <v>3451</v>
      </c>
      <c r="C1125" t="s">
        <v>3327</v>
      </c>
      <c r="D1125">
        <v>-104</v>
      </c>
      <c r="F1125">
        <v>61.68</v>
      </c>
      <c r="G1125" t="s">
        <v>3327</v>
      </c>
    </row>
    <row r="1126" spans="1:7">
      <c r="A1126">
        <v>1088</v>
      </c>
      <c r="B1126" t="s">
        <v>3451</v>
      </c>
      <c r="C1126" t="s">
        <v>3327</v>
      </c>
      <c r="D1126">
        <v>-105</v>
      </c>
      <c r="F1126">
        <v>33.5</v>
      </c>
      <c r="G1126" t="s">
        <v>3327</v>
      </c>
    </row>
    <row r="1127" spans="1:7">
      <c r="A1127">
        <v>1089</v>
      </c>
      <c r="B1127" t="s">
        <v>3451</v>
      </c>
      <c r="C1127" t="s">
        <v>3327</v>
      </c>
      <c r="D1127">
        <v>-106</v>
      </c>
      <c r="F1127">
        <v>33.5</v>
      </c>
      <c r="G1127" t="s">
        <v>3327</v>
      </c>
    </row>
    <row r="1128" spans="1:7">
      <c r="A1128">
        <v>1090</v>
      </c>
      <c r="B1128" t="s">
        <v>3451</v>
      </c>
      <c r="C1128" t="s">
        <v>3327</v>
      </c>
      <c r="D1128">
        <v>-107</v>
      </c>
      <c r="F1128">
        <v>61.4</v>
      </c>
      <c r="G1128" t="s">
        <v>3327</v>
      </c>
    </row>
    <row r="1129" spans="1:7">
      <c r="A1129">
        <v>1091</v>
      </c>
      <c r="B1129" t="s">
        <v>3451</v>
      </c>
      <c r="C1129" t="s">
        <v>3327</v>
      </c>
      <c r="D1129">
        <v>-108</v>
      </c>
      <c r="F1129">
        <v>46.55</v>
      </c>
      <c r="G1129" t="s">
        <v>3327</v>
      </c>
    </row>
    <row r="1130" spans="1:7">
      <c r="A1130">
        <v>1092</v>
      </c>
      <c r="B1130" t="s">
        <v>3451</v>
      </c>
      <c r="C1130" t="s">
        <v>3327</v>
      </c>
      <c r="D1130">
        <v>-109</v>
      </c>
      <c r="F1130">
        <v>46.55</v>
      </c>
      <c r="G1130" t="s">
        <v>3327</v>
      </c>
    </row>
    <row r="1131" spans="1:7">
      <c r="A1131">
        <v>1093</v>
      </c>
      <c r="B1131" t="s">
        <v>3451</v>
      </c>
      <c r="C1131" t="s">
        <v>3327</v>
      </c>
      <c r="D1131">
        <v>-110</v>
      </c>
      <c r="F1131">
        <v>61.4</v>
      </c>
      <c r="G1131" t="s">
        <v>3327</v>
      </c>
    </row>
    <row r="1132" spans="1:7">
      <c r="A1132">
        <v>1094</v>
      </c>
      <c r="B1132" t="s">
        <v>3451</v>
      </c>
      <c r="C1132">
        <v>1</v>
      </c>
      <c r="D1132">
        <v>101</v>
      </c>
      <c r="F1132">
        <v>219.79</v>
      </c>
      <c r="G1132" t="s">
        <v>3403</v>
      </c>
    </row>
    <row r="1133" spans="1:7">
      <c r="A1133">
        <v>1095</v>
      </c>
      <c r="B1133" t="s">
        <v>3451</v>
      </c>
      <c r="C1133">
        <v>1</v>
      </c>
      <c r="D1133">
        <v>102</v>
      </c>
      <c r="F1133">
        <v>210.97</v>
      </c>
      <c r="G1133" t="s">
        <v>3403</v>
      </c>
    </row>
    <row r="1134" spans="1:7">
      <c r="A1134">
        <v>1096</v>
      </c>
      <c r="B1134" t="s">
        <v>3451</v>
      </c>
      <c r="C1134" t="s">
        <v>3327</v>
      </c>
      <c r="D1134">
        <v>-111</v>
      </c>
      <c r="F1134">
        <v>33.5</v>
      </c>
      <c r="G1134" t="s">
        <v>3327</v>
      </c>
    </row>
    <row r="1135" spans="1:7">
      <c r="A1135">
        <v>1097</v>
      </c>
      <c r="B1135" t="s">
        <v>3451</v>
      </c>
      <c r="C1135" t="s">
        <v>3327</v>
      </c>
      <c r="D1135">
        <v>-112</v>
      </c>
      <c r="F1135">
        <v>33.5</v>
      </c>
      <c r="G1135" t="s">
        <v>3327</v>
      </c>
    </row>
    <row r="1136" spans="1:7">
      <c r="A1136">
        <v>1098</v>
      </c>
      <c r="B1136" t="s">
        <v>3451</v>
      </c>
      <c r="C1136" t="s">
        <v>3327</v>
      </c>
      <c r="D1136">
        <v>-113</v>
      </c>
      <c r="F1136">
        <v>61.4</v>
      </c>
      <c r="G1136" t="s">
        <v>3327</v>
      </c>
    </row>
    <row r="1137" spans="1:7">
      <c r="A1137">
        <v>1099</v>
      </c>
      <c r="B1137" t="s">
        <v>3451</v>
      </c>
      <c r="C1137" t="s">
        <v>3327</v>
      </c>
      <c r="D1137">
        <v>-114</v>
      </c>
      <c r="F1137">
        <v>46.23</v>
      </c>
      <c r="G1137" t="s">
        <v>3327</v>
      </c>
    </row>
    <row r="1138" spans="1:7">
      <c r="A1138">
        <v>1100</v>
      </c>
      <c r="B1138" t="s">
        <v>3451</v>
      </c>
      <c r="C1138" t="s">
        <v>3327</v>
      </c>
      <c r="D1138">
        <v>-115</v>
      </c>
      <c r="F1138">
        <v>46.23</v>
      </c>
      <c r="G1138" t="s">
        <v>3327</v>
      </c>
    </row>
    <row r="1139" spans="1:7">
      <c r="A1139">
        <v>1101</v>
      </c>
      <c r="B1139" t="s">
        <v>3451</v>
      </c>
      <c r="C1139" t="s">
        <v>3327</v>
      </c>
      <c r="D1139">
        <v>-116</v>
      </c>
      <c r="F1139">
        <v>61.4</v>
      </c>
      <c r="G1139" t="s">
        <v>3327</v>
      </c>
    </row>
    <row r="1140" spans="1:7">
      <c r="A1140">
        <v>1102</v>
      </c>
      <c r="B1140" t="s">
        <v>3451</v>
      </c>
      <c r="C1140" t="s">
        <v>3327</v>
      </c>
      <c r="D1140">
        <v>-117</v>
      </c>
      <c r="F1140">
        <v>33.5</v>
      </c>
      <c r="G1140" t="s">
        <v>3327</v>
      </c>
    </row>
    <row r="1141" spans="1:7">
      <c r="A1141">
        <v>1103</v>
      </c>
      <c r="B1141" t="s">
        <v>3451</v>
      </c>
      <c r="C1141">
        <v>1</v>
      </c>
      <c r="D1141">
        <v>201</v>
      </c>
      <c r="F1141">
        <v>230.87</v>
      </c>
      <c r="G1141" t="s">
        <v>3403</v>
      </c>
    </row>
    <row r="1142" spans="1:7">
      <c r="A1142">
        <v>1104</v>
      </c>
      <c r="B1142" t="s">
        <v>3451</v>
      </c>
      <c r="C1142" t="s">
        <v>3327</v>
      </c>
      <c r="D1142">
        <v>-123</v>
      </c>
      <c r="F1142">
        <v>28.07</v>
      </c>
      <c r="G1142" t="s">
        <v>3327</v>
      </c>
    </row>
    <row r="1143" spans="1:7">
      <c r="A1143">
        <v>1105</v>
      </c>
      <c r="B1143" t="s">
        <v>3451</v>
      </c>
      <c r="C1143" t="s">
        <v>3327</v>
      </c>
      <c r="D1143">
        <v>-124</v>
      </c>
      <c r="F1143">
        <v>32.71</v>
      </c>
      <c r="G1143" t="s">
        <v>3327</v>
      </c>
    </row>
    <row r="1144" spans="1:7">
      <c r="A1144">
        <v>1106</v>
      </c>
      <c r="B1144" t="s">
        <v>3451</v>
      </c>
      <c r="C1144" t="s">
        <v>3327</v>
      </c>
      <c r="D1144">
        <v>-125</v>
      </c>
      <c r="F1144">
        <v>21.95</v>
      </c>
      <c r="G1144" t="s">
        <v>3327</v>
      </c>
    </row>
    <row r="1145" spans="1:7">
      <c r="A1145">
        <v>1107</v>
      </c>
      <c r="B1145" t="s">
        <v>3451</v>
      </c>
      <c r="C1145" t="s">
        <v>3327</v>
      </c>
      <c r="D1145">
        <v>-126</v>
      </c>
      <c r="F1145">
        <v>42.5</v>
      </c>
      <c r="G1145" t="s">
        <v>3327</v>
      </c>
    </row>
    <row r="1146" spans="1:7">
      <c r="A1146">
        <v>1108</v>
      </c>
      <c r="B1146" t="s">
        <v>3451</v>
      </c>
      <c r="C1146" t="s">
        <v>3327</v>
      </c>
      <c r="D1146">
        <v>-127</v>
      </c>
      <c r="F1146">
        <v>31.82</v>
      </c>
      <c r="G1146" t="s">
        <v>3327</v>
      </c>
    </row>
    <row r="1147" spans="1:7">
      <c r="A1147">
        <v>1109</v>
      </c>
      <c r="B1147" t="s">
        <v>3451</v>
      </c>
      <c r="C1147">
        <v>1</v>
      </c>
      <c r="D1147">
        <v>302</v>
      </c>
      <c r="F1147">
        <v>221.83</v>
      </c>
      <c r="G1147" t="s">
        <v>3403</v>
      </c>
    </row>
    <row r="1148" spans="1:7">
      <c r="A1148">
        <v>1110</v>
      </c>
      <c r="B1148" t="s">
        <v>3451</v>
      </c>
      <c r="C1148">
        <v>1</v>
      </c>
      <c r="D1148">
        <v>402</v>
      </c>
      <c r="F1148">
        <v>221.83</v>
      </c>
      <c r="G1148" t="s">
        <v>3403</v>
      </c>
    </row>
    <row r="1149" spans="1:7">
      <c r="A1149">
        <v>1111</v>
      </c>
      <c r="B1149" t="s">
        <v>3451</v>
      </c>
      <c r="C1149" t="s">
        <v>3327</v>
      </c>
      <c r="D1149">
        <v>-201</v>
      </c>
      <c r="F1149">
        <v>22.65</v>
      </c>
      <c r="G1149" t="s">
        <v>3327</v>
      </c>
    </row>
    <row r="1150" spans="1:7">
      <c r="A1150">
        <v>1112</v>
      </c>
      <c r="B1150" t="s">
        <v>3451</v>
      </c>
      <c r="C1150" t="s">
        <v>3327</v>
      </c>
      <c r="D1150">
        <v>-202</v>
      </c>
      <c r="F1150">
        <v>30.24</v>
      </c>
      <c r="G1150" t="s">
        <v>3327</v>
      </c>
    </row>
    <row r="1151" spans="1:7">
      <c r="A1151">
        <v>1113</v>
      </c>
      <c r="B1151" t="s">
        <v>3451</v>
      </c>
      <c r="C1151" t="s">
        <v>3327</v>
      </c>
      <c r="D1151">
        <v>-203</v>
      </c>
      <c r="F1151">
        <v>24.05</v>
      </c>
      <c r="G1151" t="s">
        <v>3327</v>
      </c>
    </row>
    <row r="1152" spans="1:7">
      <c r="A1152">
        <v>1114</v>
      </c>
      <c r="B1152" t="s">
        <v>3451</v>
      </c>
      <c r="C1152" t="s">
        <v>3327</v>
      </c>
      <c r="D1152">
        <v>-204</v>
      </c>
      <c r="F1152">
        <v>24.05</v>
      </c>
      <c r="G1152" t="s">
        <v>3327</v>
      </c>
    </row>
    <row r="1153" spans="1:7">
      <c r="A1153">
        <v>1115</v>
      </c>
      <c r="B1153" t="s">
        <v>3451</v>
      </c>
      <c r="C1153" t="s">
        <v>3327</v>
      </c>
      <c r="D1153">
        <v>-205</v>
      </c>
      <c r="F1153">
        <v>25.51</v>
      </c>
      <c r="G1153" t="s">
        <v>3327</v>
      </c>
    </row>
    <row r="1154" spans="1:7">
      <c r="A1154">
        <v>1116</v>
      </c>
      <c r="B1154" t="s">
        <v>3451</v>
      </c>
      <c r="C1154" t="s">
        <v>3327</v>
      </c>
      <c r="D1154">
        <v>-206</v>
      </c>
      <c r="F1154">
        <v>25.51</v>
      </c>
      <c r="G1154" t="s">
        <v>3327</v>
      </c>
    </row>
    <row r="1155" spans="1:7">
      <c r="A1155">
        <v>1117</v>
      </c>
      <c r="B1155" t="s">
        <v>3451</v>
      </c>
      <c r="C1155" t="s">
        <v>3327</v>
      </c>
      <c r="D1155">
        <v>-207</v>
      </c>
      <c r="F1155">
        <v>24.05</v>
      </c>
      <c r="G1155" t="s">
        <v>3327</v>
      </c>
    </row>
    <row r="1156" spans="1:7">
      <c r="A1156">
        <v>1118</v>
      </c>
      <c r="B1156" t="s">
        <v>3451</v>
      </c>
      <c r="C1156" t="s">
        <v>3327</v>
      </c>
      <c r="D1156">
        <v>-208</v>
      </c>
      <c r="F1156">
        <v>24.05</v>
      </c>
      <c r="G1156" t="s">
        <v>3327</v>
      </c>
    </row>
    <row r="1157" spans="1:7">
      <c r="A1157">
        <v>1119</v>
      </c>
      <c r="B1157" t="s">
        <v>3451</v>
      </c>
      <c r="C1157" t="s">
        <v>3327</v>
      </c>
      <c r="D1157">
        <v>-209</v>
      </c>
      <c r="F1157">
        <v>31.7</v>
      </c>
      <c r="G1157" t="s">
        <v>3327</v>
      </c>
    </row>
    <row r="1158" spans="1:7">
      <c r="A1158">
        <v>1120</v>
      </c>
      <c r="B1158" t="s">
        <v>3451</v>
      </c>
      <c r="C1158">
        <v>2</v>
      </c>
      <c r="D1158">
        <v>101</v>
      </c>
      <c r="F1158">
        <v>210.97</v>
      </c>
      <c r="G1158" t="s">
        <v>3403</v>
      </c>
    </row>
    <row r="1159" spans="1:7">
      <c r="A1159">
        <v>1121</v>
      </c>
      <c r="B1159" t="s">
        <v>3451</v>
      </c>
      <c r="C1159">
        <v>2</v>
      </c>
      <c r="D1159">
        <v>102</v>
      </c>
      <c r="F1159">
        <v>210.97</v>
      </c>
      <c r="G1159" t="s">
        <v>3403</v>
      </c>
    </row>
    <row r="1160" spans="1:7">
      <c r="A1160">
        <v>1122</v>
      </c>
      <c r="B1160" t="s">
        <v>3451</v>
      </c>
      <c r="C1160" t="s">
        <v>3327</v>
      </c>
      <c r="D1160">
        <v>-211</v>
      </c>
      <c r="F1160">
        <v>22.65</v>
      </c>
      <c r="G1160" t="s">
        <v>3327</v>
      </c>
    </row>
    <row r="1161" spans="1:7">
      <c r="A1161">
        <v>1123</v>
      </c>
      <c r="B1161" t="s">
        <v>3451</v>
      </c>
      <c r="C1161" t="s">
        <v>3327</v>
      </c>
      <c r="D1161">
        <v>-212</v>
      </c>
      <c r="F1161">
        <v>22.65</v>
      </c>
      <c r="G1161" t="s">
        <v>3327</v>
      </c>
    </row>
    <row r="1162" spans="1:7">
      <c r="A1162">
        <v>1124</v>
      </c>
      <c r="B1162" t="s">
        <v>3451</v>
      </c>
      <c r="C1162" t="s">
        <v>3327</v>
      </c>
      <c r="D1162">
        <v>-213</v>
      </c>
      <c r="F1162">
        <v>22.65</v>
      </c>
      <c r="G1162" t="s">
        <v>3327</v>
      </c>
    </row>
    <row r="1163" spans="1:7">
      <c r="A1163">
        <v>1125</v>
      </c>
      <c r="B1163" t="s">
        <v>3451</v>
      </c>
      <c r="C1163" t="s">
        <v>3327</v>
      </c>
      <c r="D1163">
        <v>-214</v>
      </c>
      <c r="F1163">
        <v>22.65</v>
      </c>
      <c r="G1163" t="s">
        <v>3327</v>
      </c>
    </row>
    <row r="1164" spans="1:7">
      <c r="A1164">
        <v>1126</v>
      </c>
      <c r="B1164" t="s">
        <v>3451</v>
      </c>
      <c r="C1164">
        <v>2</v>
      </c>
      <c r="D1164">
        <v>201</v>
      </c>
      <c r="F1164">
        <v>221.83</v>
      </c>
      <c r="G1164" t="s">
        <v>3403</v>
      </c>
    </row>
    <row r="1165" spans="1:7">
      <c r="A1165">
        <v>1127</v>
      </c>
      <c r="B1165" t="s">
        <v>3451</v>
      </c>
      <c r="C1165">
        <v>2</v>
      </c>
      <c r="D1165">
        <v>202</v>
      </c>
      <c r="F1165">
        <v>221.83</v>
      </c>
      <c r="G1165" t="s">
        <v>3403</v>
      </c>
    </row>
    <row r="1166" spans="1:7">
      <c r="A1166">
        <v>1128</v>
      </c>
      <c r="B1166" t="s">
        <v>3451</v>
      </c>
      <c r="C1166">
        <v>2</v>
      </c>
      <c r="D1166">
        <v>301</v>
      </c>
      <c r="F1166">
        <v>221.83</v>
      </c>
      <c r="G1166" t="s">
        <v>3403</v>
      </c>
    </row>
    <row r="1167" spans="1:7">
      <c r="A1167">
        <v>1129</v>
      </c>
      <c r="B1167" t="s">
        <v>3451</v>
      </c>
      <c r="C1167">
        <v>2</v>
      </c>
      <c r="D1167">
        <v>302</v>
      </c>
      <c r="F1167">
        <v>221.83</v>
      </c>
      <c r="G1167" t="s">
        <v>3403</v>
      </c>
    </row>
    <row r="1168" spans="1:7">
      <c r="A1168">
        <v>1130</v>
      </c>
      <c r="B1168" t="s">
        <v>3451</v>
      </c>
      <c r="C1168">
        <v>2</v>
      </c>
      <c r="D1168">
        <v>401</v>
      </c>
      <c r="F1168">
        <v>221.83</v>
      </c>
      <c r="G1168" t="s">
        <v>3403</v>
      </c>
    </row>
    <row r="1169" spans="1:7">
      <c r="A1169">
        <v>1131</v>
      </c>
      <c r="B1169" t="s">
        <v>3451</v>
      </c>
      <c r="C1169">
        <v>3</v>
      </c>
      <c r="D1169">
        <v>101</v>
      </c>
      <c r="F1169">
        <v>210.97</v>
      </c>
      <c r="G1169" t="s">
        <v>3403</v>
      </c>
    </row>
    <row r="1170" spans="1:7">
      <c r="A1170">
        <v>1132</v>
      </c>
      <c r="B1170" t="s">
        <v>3451</v>
      </c>
      <c r="C1170">
        <v>3</v>
      </c>
      <c r="D1170">
        <v>201</v>
      </c>
      <c r="F1170">
        <v>221.83</v>
      </c>
      <c r="G1170" t="s">
        <v>3403</v>
      </c>
    </row>
    <row r="1171" spans="1:7">
      <c r="A1171">
        <v>1133</v>
      </c>
      <c r="B1171" t="s">
        <v>3451</v>
      </c>
      <c r="C1171">
        <v>3</v>
      </c>
      <c r="D1171">
        <v>401</v>
      </c>
      <c r="F1171">
        <v>221.83</v>
      </c>
      <c r="G1171" t="s">
        <v>3403</v>
      </c>
    </row>
    <row r="1172" spans="1:7">
      <c r="A1172">
        <v>1134</v>
      </c>
      <c r="B1172" t="s">
        <v>3452</v>
      </c>
      <c r="C1172" t="s">
        <v>3327</v>
      </c>
      <c r="D1172">
        <v>-106</v>
      </c>
      <c r="F1172">
        <v>33.86</v>
      </c>
      <c r="G1172" t="s">
        <v>3327</v>
      </c>
    </row>
    <row r="1173" spans="1:7">
      <c r="A1173">
        <v>1135</v>
      </c>
      <c r="B1173" t="s">
        <v>3452</v>
      </c>
      <c r="C1173" t="s">
        <v>3327</v>
      </c>
      <c r="D1173">
        <v>-107</v>
      </c>
      <c r="F1173">
        <v>62.06</v>
      </c>
      <c r="G1173" t="s">
        <v>3327</v>
      </c>
    </row>
    <row r="1174" spans="1:7">
      <c r="A1174">
        <v>1136</v>
      </c>
      <c r="B1174" t="s">
        <v>3452</v>
      </c>
      <c r="C1174" t="s">
        <v>3327</v>
      </c>
      <c r="D1174">
        <v>-108</v>
      </c>
      <c r="F1174">
        <v>47.05</v>
      </c>
      <c r="G1174" t="s">
        <v>3327</v>
      </c>
    </row>
    <row r="1175" spans="1:7">
      <c r="A1175">
        <v>1137</v>
      </c>
      <c r="B1175" t="s">
        <v>3452</v>
      </c>
      <c r="C1175" t="s">
        <v>3327</v>
      </c>
      <c r="D1175">
        <v>-109</v>
      </c>
      <c r="F1175">
        <v>47.05</v>
      </c>
      <c r="G1175" t="s">
        <v>3327</v>
      </c>
    </row>
    <row r="1176" spans="1:7">
      <c r="A1176">
        <v>1138</v>
      </c>
      <c r="B1176" t="s">
        <v>3452</v>
      </c>
      <c r="C1176" t="s">
        <v>3327</v>
      </c>
      <c r="D1176">
        <v>-110</v>
      </c>
      <c r="F1176">
        <v>62.06</v>
      </c>
      <c r="G1176" t="s">
        <v>3327</v>
      </c>
    </row>
    <row r="1177" spans="1:7">
      <c r="A1177">
        <v>1139</v>
      </c>
      <c r="B1177" t="s">
        <v>3452</v>
      </c>
      <c r="C1177">
        <v>1</v>
      </c>
      <c r="D1177">
        <v>102</v>
      </c>
      <c r="F1177">
        <v>210.99</v>
      </c>
      <c r="G1177" t="s">
        <v>3403</v>
      </c>
    </row>
    <row r="1178" spans="1:7">
      <c r="A1178">
        <v>1140</v>
      </c>
      <c r="B1178" t="s">
        <v>3452</v>
      </c>
      <c r="C1178" t="s">
        <v>3327</v>
      </c>
      <c r="D1178">
        <v>-111</v>
      </c>
      <c r="F1178">
        <v>33.86</v>
      </c>
      <c r="G1178" t="s">
        <v>3327</v>
      </c>
    </row>
    <row r="1179" spans="1:7">
      <c r="A1179">
        <v>1141</v>
      </c>
      <c r="B1179" t="s">
        <v>3452</v>
      </c>
      <c r="C1179" t="s">
        <v>3327</v>
      </c>
      <c r="D1179">
        <v>-112</v>
      </c>
      <c r="F1179">
        <v>33.86</v>
      </c>
      <c r="G1179" t="s">
        <v>3327</v>
      </c>
    </row>
    <row r="1180" spans="1:7">
      <c r="A1180">
        <v>1142</v>
      </c>
      <c r="B1180" t="s">
        <v>3452</v>
      </c>
      <c r="C1180" t="s">
        <v>3327</v>
      </c>
      <c r="D1180">
        <v>-113</v>
      </c>
      <c r="F1180">
        <v>62.06</v>
      </c>
      <c r="G1180" t="s">
        <v>3327</v>
      </c>
    </row>
    <row r="1181" spans="1:7">
      <c r="A1181">
        <v>1143</v>
      </c>
      <c r="B1181" t="s">
        <v>3452</v>
      </c>
      <c r="C1181" t="s">
        <v>3327</v>
      </c>
      <c r="D1181">
        <v>-114</v>
      </c>
      <c r="F1181">
        <v>46.72</v>
      </c>
      <c r="G1181" t="s">
        <v>3327</v>
      </c>
    </row>
    <row r="1182" spans="1:7">
      <c r="A1182">
        <v>1144</v>
      </c>
      <c r="B1182" t="s">
        <v>3452</v>
      </c>
      <c r="C1182" t="s">
        <v>3327</v>
      </c>
      <c r="D1182">
        <v>-115</v>
      </c>
      <c r="F1182">
        <v>46.72</v>
      </c>
      <c r="G1182" t="s">
        <v>3327</v>
      </c>
    </row>
    <row r="1183" spans="1:7">
      <c r="A1183">
        <v>1145</v>
      </c>
      <c r="B1183" t="s">
        <v>3452</v>
      </c>
      <c r="C1183" t="s">
        <v>3327</v>
      </c>
      <c r="D1183">
        <v>-116</v>
      </c>
      <c r="F1183">
        <v>62.06</v>
      </c>
      <c r="G1183" t="s">
        <v>3327</v>
      </c>
    </row>
    <row r="1184" spans="1:7">
      <c r="A1184">
        <v>1146</v>
      </c>
      <c r="B1184" t="s">
        <v>3452</v>
      </c>
      <c r="C1184" t="s">
        <v>3327</v>
      </c>
      <c r="D1184">
        <v>-117</v>
      </c>
      <c r="F1184">
        <v>33.86</v>
      </c>
      <c r="G1184" t="s">
        <v>3327</v>
      </c>
    </row>
    <row r="1185" spans="1:7">
      <c r="A1185">
        <v>1147</v>
      </c>
      <c r="B1185" t="s">
        <v>3452</v>
      </c>
      <c r="C1185" t="s">
        <v>3327</v>
      </c>
      <c r="D1185">
        <v>-118</v>
      </c>
      <c r="F1185">
        <v>33.86</v>
      </c>
      <c r="G1185" t="s">
        <v>3327</v>
      </c>
    </row>
    <row r="1186" spans="1:7">
      <c r="A1186">
        <v>1148</v>
      </c>
      <c r="B1186" t="s">
        <v>3452</v>
      </c>
      <c r="C1186" t="s">
        <v>3327</v>
      </c>
      <c r="D1186">
        <v>-119</v>
      </c>
      <c r="F1186">
        <v>62.34</v>
      </c>
      <c r="G1186" t="s">
        <v>3327</v>
      </c>
    </row>
    <row r="1187" spans="1:7">
      <c r="A1187">
        <v>1149</v>
      </c>
      <c r="B1187" t="s">
        <v>3452</v>
      </c>
      <c r="C1187" t="s">
        <v>3327</v>
      </c>
      <c r="D1187">
        <v>-120</v>
      </c>
      <c r="F1187">
        <v>56.73</v>
      </c>
      <c r="G1187" t="s">
        <v>3327</v>
      </c>
    </row>
    <row r="1188" spans="1:7">
      <c r="A1188">
        <v>1150</v>
      </c>
      <c r="B1188" t="s">
        <v>3452</v>
      </c>
      <c r="C1188">
        <v>1</v>
      </c>
      <c r="D1188">
        <v>201</v>
      </c>
      <c r="F1188">
        <v>230.9</v>
      </c>
      <c r="G1188" t="s">
        <v>3403</v>
      </c>
    </row>
    <row r="1189" spans="1:7">
      <c r="A1189">
        <v>1151</v>
      </c>
      <c r="B1189" t="s">
        <v>3452</v>
      </c>
      <c r="C1189" t="s">
        <v>3327</v>
      </c>
      <c r="D1189">
        <v>-121</v>
      </c>
      <c r="F1189">
        <v>30.59</v>
      </c>
      <c r="G1189" t="s">
        <v>3327</v>
      </c>
    </row>
    <row r="1190" spans="1:7">
      <c r="A1190">
        <v>1152</v>
      </c>
      <c r="B1190" t="s">
        <v>3452</v>
      </c>
      <c r="C1190" t="s">
        <v>3327</v>
      </c>
      <c r="D1190">
        <v>-122</v>
      </c>
      <c r="F1190">
        <v>25.07</v>
      </c>
      <c r="G1190" t="s">
        <v>3327</v>
      </c>
    </row>
    <row r="1191" spans="1:7">
      <c r="A1191">
        <v>1153</v>
      </c>
      <c r="B1191" t="s">
        <v>3452</v>
      </c>
      <c r="C1191" t="s">
        <v>3327</v>
      </c>
      <c r="D1191">
        <v>-123</v>
      </c>
      <c r="F1191">
        <v>28.37</v>
      </c>
      <c r="G1191" t="s">
        <v>3327</v>
      </c>
    </row>
    <row r="1192" spans="1:7">
      <c r="A1192">
        <v>1154</v>
      </c>
      <c r="B1192" t="s">
        <v>3452</v>
      </c>
      <c r="C1192" t="s">
        <v>3327</v>
      </c>
      <c r="D1192">
        <v>-124</v>
      </c>
      <c r="F1192">
        <v>28.37</v>
      </c>
      <c r="G1192" t="s">
        <v>3327</v>
      </c>
    </row>
    <row r="1193" spans="1:7">
      <c r="A1193">
        <v>1155</v>
      </c>
      <c r="B1193" t="s">
        <v>3452</v>
      </c>
      <c r="C1193" t="s">
        <v>3327</v>
      </c>
      <c r="D1193">
        <v>-125</v>
      </c>
      <c r="F1193">
        <v>22.18</v>
      </c>
      <c r="G1193" t="s">
        <v>3327</v>
      </c>
    </row>
    <row r="1194" spans="1:7">
      <c r="A1194">
        <v>1156</v>
      </c>
      <c r="B1194" t="s">
        <v>3452</v>
      </c>
      <c r="C1194" t="s">
        <v>3327</v>
      </c>
      <c r="D1194">
        <v>-126</v>
      </c>
      <c r="F1194">
        <v>42.89</v>
      </c>
      <c r="G1194" t="s">
        <v>3327</v>
      </c>
    </row>
    <row r="1195" spans="1:7">
      <c r="A1195">
        <v>1157</v>
      </c>
      <c r="B1195" t="s">
        <v>3452</v>
      </c>
      <c r="C1195" t="s">
        <v>3327</v>
      </c>
      <c r="D1195">
        <v>-127</v>
      </c>
      <c r="F1195">
        <v>42.81</v>
      </c>
      <c r="G1195" t="s">
        <v>3327</v>
      </c>
    </row>
    <row r="1196" spans="1:7">
      <c r="A1196">
        <v>1158</v>
      </c>
      <c r="B1196" t="s">
        <v>3452</v>
      </c>
      <c r="C1196">
        <v>1</v>
      </c>
      <c r="D1196">
        <v>302</v>
      </c>
      <c r="F1196">
        <v>221.85</v>
      </c>
      <c r="G1196" t="s">
        <v>3403</v>
      </c>
    </row>
    <row r="1197" spans="1:7">
      <c r="A1197">
        <v>1159</v>
      </c>
      <c r="B1197" t="s">
        <v>3452</v>
      </c>
      <c r="C1197">
        <v>1</v>
      </c>
      <c r="D1197">
        <v>401</v>
      </c>
      <c r="F1197">
        <v>230.9</v>
      </c>
      <c r="G1197" t="s">
        <v>3403</v>
      </c>
    </row>
    <row r="1198" spans="1:7">
      <c r="A1198">
        <v>1160</v>
      </c>
      <c r="B1198" t="s">
        <v>3452</v>
      </c>
      <c r="C1198">
        <v>1</v>
      </c>
      <c r="D1198">
        <v>402</v>
      </c>
      <c r="F1198">
        <v>221.85</v>
      </c>
      <c r="G1198" t="s">
        <v>3403</v>
      </c>
    </row>
    <row r="1199" spans="1:7">
      <c r="A1199">
        <v>1161</v>
      </c>
      <c r="B1199" t="s">
        <v>3452</v>
      </c>
      <c r="C1199" t="s">
        <v>3327</v>
      </c>
      <c r="D1199">
        <v>-202</v>
      </c>
      <c r="F1199">
        <v>19.829999999999998</v>
      </c>
      <c r="G1199" t="s">
        <v>3327</v>
      </c>
    </row>
    <row r="1200" spans="1:7">
      <c r="A1200">
        <v>1162</v>
      </c>
      <c r="B1200" t="s">
        <v>3452</v>
      </c>
      <c r="C1200" t="s">
        <v>3327</v>
      </c>
      <c r="D1200">
        <v>-203</v>
      </c>
      <c r="F1200">
        <v>19.829999999999998</v>
      </c>
      <c r="G1200" t="s">
        <v>3327</v>
      </c>
    </row>
    <row r="1201" spans="1:7">
      <c r="A1201">
        <v>1163</v>
      </c>
      <c r="B1201" t="s">
        <v>3452</v>
      </c>
      <c r="C1201" t="s">
        <v>3327</v>
      </c>
      <c r="D1201">
        <v>-204</v>
      </c>
      <c r="F1201">
        <v>19.829999999999998</v>
      </c>
      <c r="G1201" t="s">
        <v>3327</v>
      </c>
    </row>
    <row r="1202" spans="1:7">
      <c r="A1202">
        <v>1164</v>
      </c>
      <c r="B1202" t="s">
        <v>3452</v>
      </c>
      <c r="C1202" t="s">
        <v>3327</v>
      </c>
      <c r="D1202">
        <v>-205</v>
      </c>
      <c r="F1202">
        <v>19.829999999999998</v>
      </c>
      <c r="G1202" t="s">
        <v>3327</v>
      </c>
    </row>
    <row r="1203" spans="1:7">
      <c r="A1203">
        <v>1165</v>
      </c>
      <c r="B1203" t="s">
        <v>3452</v>
      </c>
      <c r="C1203" t="s">
        <v>3327</v>
      </c>
      <c r="D1203">
        <v>-206</v>
      </c>
      <c r="F1203">
        <v>19.829999999999998</v>
      </c>
      <c r="G1203" t="s">
        <v>3327</v>
      </c>
    </row>
    <row r="1204" spans="1:7">
      <c r="A1204">
        <v>1166</v>
      </c>
      <c r="B1204" t="s">
        <v>3452</v>
      </c>
      <c r="C1204" t="s">
        <v>3327</v>
      </c>
      <c r="D1204">
        <v>-207</v>
      </c>
      <c r="F1204">
        <v>23.63</v>
      </c>
      <c r="G1204" t="s">
        <v>3327</v>
      </c>
    </row>
    <row r="1205" spans="1:7">
      <c r="A1205">
        <v>1167</v>
      </c>
      <c r="B1205" t="s">
        <v>3452</v>
      </c>
      <c r="C1205" t="s">
        <v>3327</v>
      </c>
      <c r="D1205">
        <v>-208</v>
      </c>
      <c r="F1205">
        <v>14.96</v>
      </c>
      <c r="G1205" t="s">
        <v>3327</v>
      </c>
    </row>
    <row r="1206" spans="1:7">
      <c r="A1206">
        <v>1168</v>
      </c>
      <c r="B1206" t="s">
        <v>3452</v>
      </c>
      <c r="C1206">
        <v>2</v>
      </c>
      <c r="D1206">
        <v>101</v>
      </c>
      <c r="F1206">
        <v>210.99</v>
      </c>
      <c r="G1206" t="s">
        <v>3403</v>
      </c>
    </row>
    <row r="1207" spans="1:7">
      <c r="A1207">
        <v>1169</v>
      </c>
      <c r="B1207" t="s">
        <v>3452</v>
      </c>
      <c r="C1207">
        <v>2</v>
      </c>
      <c r="D1207">
        <v>102</v>
      </c>
      <c r="F1207">
        <v>210.99</v>
      </c>
      <c r="G1207" t="s">
        <v>3403</v>
      </c>
    </row>
    <row r="1208" spans="1:7">
      <c r="A1208">
        <v>1170</v>
      </c>
      <c r="B1208" t="s">
        <v>3452</v>
      </c>
      <c r="C1208">
        <v>2</v>
      </c>
      <c r="D1208">
        <v>202</v>
      </c>
      <c r="F1208">
        <v>221.85</v>
      </c>
      <c r="G1208" t="s">
        <v>3403</v>
      </c>
    </row>
    <row r="1209" spans="1:7">
      <c r="A1209">
        <v>1171</v>
      </c>
      <c r="B1209" t="s">
        <v>3452</v>
      </c>
      <c r="C1209">
        <v>2</v>
      </c>
      <c r="D1209">
        <v>302</v>
      </c>
      <c r="F1209">
        <v>221.85</v>
      </c>
      <c r="G1209" t="s">
        <v>3403</v>
      </c>
    </row>
    <row r="1210" spans="1:7">
      <c r="A1210">
        <v>1172</v>
      </c>
      <c r="B1210" t="s">
        <v>3452</v>
      </c>
      <c r="C1210">
        <v>2</v>
      </c>
      <c r="D1210">
        <v>401</v>
      </c>
      <c r="F1210">
        <v>221.85</v>
      </c>
      <c r="G1210" t="s">
        <v>3403</v>
      </c>
    </row>
    <row r="1211" spans="1:7">
      <c r="A1211">
        <v>1173</v>
      </c>
      <c r="B1211" t="s">
        <v>3452</v>
      </c>
      <c r="C1211">
        <v>3</v>
      </c>
      <c r="D1211">
        <v>101</v>
      </c>
      <c r="F1211">
        <v>210.99</v>
      </c>
      <c r="G1211" t="s">
        <v>3403</v>
      </c>
    </row>
    <row r="1212" spans="1:7">
      <c r="A1212">
        <v>1174</v>
      </c>
      <c r="B1212" t="s">
        <v>3452</v>
      </c>
      <c r="C1212">
        <v>3</v>
      </c>
      <c r="D1212">
        <v>102</v>
      </c>
      <c r="F1212">
        <v>219.81</v>
      </c>
      <c r="G1212" t="s">
        <v>3403</v>
      </c>
    </row>
    <row r="1213" spans="1:7">
      <c r="A1213">
        <v>1175</v>
      </c>
      <c r="B1213" t="s">
        <v>3452</v>
      </c>
      <c r="C1213">
        <v>3</v>
      </c>
      <c r="D1213">
        <v>201</v>
      </c>
      <c r="F1213">
        <v>221.85</v>
      </c>
      <c r="G1213" t="s">
        <v>3403</v>
      </c>
    </row>
    <row r="1214" spans="1:7">
      <c r="A1214">
        <v>1176</v>
      </c>
      <c r="B1214" t="s">
        <v>3452</v>
      </c>
      <c r="C1214">
        <v>3</v>
      </c>
      <c r="D1214">
        <v>202</v>
      </c>
      <c r="F1214">
        <v>230.9</v>
      </c>
      <c r="G1214" t="s">
        <v>3403</v>
      </c>
    </row>
    <row r="1215" spans="1:7">
      <c r="A1215">
        <v>1177</v>
      </c>
      <c r="B1215" t="s">
        <v>3452</v>
      </c>
      <c r="C1215">
        <v>3</v>
      </c>
      <c r="D1215">
        <v>301</v>
      </c>
      <c r="F1215">
        <v>221.85</v>
      </c>
      <c r="G1215" t="s">
        <v>3403</v>
      </c>
    </row>
    <row r="1216" spans="1:7">
      <c r="A1216">
        <v>1178</v>
      </c>
      <c r="B1216" t="s">
        <v>3452</v>
      </c>
      <c r="C1216">
        <v>3</v>
      </c>
      <c r="D1216">
        <v>302</v>
      </c>
      <c r="F1216">
        <v>230.9</v>
      </c>
      <c r="G1216" t="s">
        <v>3403</v>
      </c>
    </row>
    <row r="1217" spans="1:7">
      <c r="A1217">
        <v>1179</v>
      </c>
      <c r="B1217" t="s">
        <v>3452</v>
      </c>
      <c r="C1217">
        <v>3</v>
      </c>
      <c r="D1217">
        <v>402</v>
      </c>
      <c r="F1217">
        <v>230.9</v>
      </c>
      <c r="G1217" t="s">
        <v>3403</v>
      </c>
    </row>
    <row r="1218" spans="1:7">
      <c r="A1218">
        <v>1180</v>
      </c>
      <c r="B1218" t="s">
        <v>3453</v>
      </c>
      <c r="C1218" t="s">
        <v>3327</v>
      </c>
      <c r="D1218">
        <v>-101</v>
      </c>
      <c r="F1218">
        <v>24.3</v>
      </c>
      <c r="G1218" t="s">
        <v>3327</v>
      </c>
    </row>
    <row r="1219" spans="1:7">
      <c r="A1219">
        <v>1181</v>
      </c>
      <c r="B1219" t="s">
        <v>3453</v>
      </c>
      <c r="C1219" t="s">
        <v>3327</v>
      </c>
      <c r="D1219">
        <v>-102</v>
      </c>
      <c r="F1219">
        <v>30.33</v>
      </c>
      <c r="G1219" t="s">
        <v>3327</v>
      </c>
    </row>
    <row r="1220" spans="1:7">
      <c r="A1220">
        <v>1182</v>
      </c>
      <c r="B1220" t="s">
        <v>3453</v>
      </c>
      <c r="C1220" t="s">
        <v>3327</v>
      </c>
      <c r="D1220">
        <v>-103</v>
      </c>
      <c r="F1220">
        <v>56.23</v>
      </c>
      <c r="G1220" t="s">
        <v>3327</v>
      </c>
    </row>
    <row r="1221" spans="1:7">
      <c r="A1221">
        <v>1183</v>
      </c>
      <c r="B1221" t="s">
        <v>3453</v>
      </c>
      <c r="C1221" t="s">
        <v>3327</v>
      </c>
      <c r="D1221">
        <v>-104</v>
      </c>
      <c r="F1221">
        <v>61.8</v>
      </c>
      <c r="G1221" t="s">
        <v>3327</v>
      </c>
    </row>
    <row r="1222" spans="1:7">
      <c r="A1222">
        <v>1184</v>
      </c>
      <c r="B1222" t="s">
        <v>3453</v>
      </c>
      <c r="C1222" t="s">
        <v>3327</v>
      </c>
      <c r="D1222">
        <v>-105</v>
      </c>
      <c r="F1222">
        <v>33.21</v>
      </c>
      <c r="G1222" t="s">
        <v>3327</v>
      </c>
    </row>
    <row r="1223" spans="1:7">
      <c r="A1223">
        <v>1185</v>
      </c>
      <c r="B1223" t="s">
        <v>3453</v>
      </c>
      <c r="C1223" t="s">
        <v>3327</v>
      </c>
      <c r="D1223">
        <v>-106</v>
      </c>
      <c r="F1223">
        <v>33.21</v>
      </c>
      <c r="G1223" t="s">
        <v>3327</v>
      </c>
    </row>
    <row r="1224" spans="1:7">
      <c r="A1224">
        <v>1186</v>
      </c>
      <c r="B1224" t="s">
        <v>3453</v>
      </c>
      <c r="C1224" t="s">
        <v>3327</v>
      </c>
      <c r="D1224">
        <v>-107</v>
      </c>
      <c r="F1224">
        <v>61.52</v>
      </c>
      <c r="G1224" t="s">
        <v>3327</v>
      </c>
    </row>
    <row r="1225" spans="1:7">
      <c r="A1225">
        <v>1187</v>
      </c>
      <c r="B1225" t="s">
        <v>3453</v>
      </c>
      <c r="C1225" t="s">
        <v>3327</v>
      </c>
      <c r="D1225">
        <v>-108</v>
      </c>
      <c r="F1225">
        <v>46.65</v>
      </c>
      <c r="G1225" t="s">
        <v>3327</v>
      </c>
    </row>
    <row r="1226" spans="1:7">
      <c r="A1226">
        <v>1188</v>
      </c>
      <c r="B1226" t="s">
        <v>3453</v>
      </c>
      <c r="C1226" t="s">
        <v>3327</v>
      </c>
      <c r="D1226">
        <v>-109</v>
      </c>
      <c r="F1226">
        <v>46.65</v>
      </c>
      <c r="G1226" t="s">
        <v>3327</v>
      </c>
    </row>
    <row r="1227" spans="1:7">
      <c r="A1227">
        <v>1189</v>
      </c>
      <c r="B1227" t="s">
        <v>3453</v>
      </c>
      <c r="C1227" t="s">
        <v>3327</v>
      </c>
      <c r="D1227">
        <v>-110</v>
      </c>
      <c r="F1227">
        <v>61.52</v>
      </c>
      <c r="G1227" t="s">
        <v>3327</v>
      </c>
    </row>
    <row r="1228" spans="1:7">
      <c r="A1228">
        <v>1190</v>
      </c>
      <c r="B1228" t="s">
        <v>3453</v>
      </c>
      <c r="C1228">
        <v>1</v>
      </c>
      <c r="D1228">
        <v>101</v>
      </c>
      <c r="F1228">
        <v>217.74</v>
      </c>
      <c r="G1228" t="s">
        <v>3403</v>
      </c>
    </row>
    <row r="1229" spans="1:7">
      <c r="A1229">
        <v>1191</v>
      </c>
      <c r="B1229" t="s">
        <v>3453</v>
      </c>
      <c r="C1229">
        <v>1</v>
      </c>
      <c r="D1229">
        <v>102</v>
      </c>
      <c r="F1229">
        <v>209.66</v>
      </c>
      <c r="G1229" t="s">
        <v>3403</v>
      </c>
    </row>
    <row r="1230" spans="1:7">
      <c r="A1230">
        <v>1192</v>
      </c>
      <c r="B1230" t="s">
        <v>3453</v>
      </c>
      <c r="C1230" t="s">
        <v>3327</v>
      </c>
      <c r="D1230">
        <v>-111</v>
      </c>
      <c r="F1230">
        <v>33.21</v>
      </c>
      <c r="G1230" t="s">
        <v>3327</v>
      </c>
    </row>
    <row r="1231" spans="1:7">
      <c r="A1231">
        <v>1193</v>
      </c>
      <c r="B1231" t="s">
        <v>3453</v>
      </c>
      <c r="C1231" t="s">
        <v>3327</v>
      </c>
      <c r="D1231">
        <v>-112</v>
      </c>
      <c r="F1231">
        <v>33.21</v>
      </c>
      <c r="G1231" t="s">
        <v>3327</v>
      </c>
    </row>
    <row r="1232" spans="1:7">
      <c r="A1232">
        <v>1194</v>
      </c>
      <c r="B1232" t="s">
        <v>3453</v>
      </c>
      <c r="C1232" t="s">
        <v>3327</v>
      </c>
      <c r="D1232">
        <v>-113</v>
      </c>
      <c r="F1232">
        <v>61.52</v>
      </c>
      <c r="G1232" t="s">
        <v>3327</v>
      </c>
    </row>
    <row r="1233" spans="1:7">
      <c r="A1233">
        <v>1195</v>
      </c>
      <c r="B1233" t="s">
        <v>3453</v>
      </c>
      <c r="C1233" t="s">
        <v>3327</v>
      </c>
      <c r="D1233">
        <v>-114</v>
      </c>
      <c r="F1233">
        <v>46.32</v>
      </c>
      <c r="G1233" t="s">
        <v>3327</v>
      </c>
    </row>
    <row r="1234" spans="1:7">
      <c r="A1234">
        <v>1196</v>
      </c>
      <c r="B1234" t="s">
        <v>3453</v>
      </c>
      <c r="C1234">
        <v>1</v>
      </c>
      <c r="D1234">
        <v>201</v>
      </c>
      <c r="F1234">
        <v>228.69</v>
      </c>
      <c r="G1234" t="s">
        <v>3403</v>
      </c>
    </row>
    <row r="1235" spans="1:7">
      <c r="A1235">
        <v>1197</v>
      </c>
      <c r="B1235" t="s">
        <v>3453</v>
      </c>
      <c r="C1235" t="s">
        <v>3327</v>
      </c>
      <c r="D1235">
        <v>-123</v>
      </c>
      <c r="F1235">
        <v>28.12</v>
      </c>
      <c r="G1235" t="s">
        <v>3327</v>
      </c>
    </row>
    <row r="1236" spans="1:7">
      <c r="A1236">
        <v>1198</v>
      </c>
      <c r="B1236" t="s">
        <v>3453</v>
      </c>
      <c r="C1236" t="s">
        <v>3327</v>
      </c>
      <c r="D1236">
        <v>-124</v>
      </c>
      <c r="F1236">
        <v>32.770000000000003</v>
      </c>
      <c r="G1236" t="s">
        <v>3327</v>
      </c>
    </row>
    <row r="1237" spans="1:7">
      <c r="A1237">
        <v>1199</v>
      </c>
      <c r="B1237" t="s">
        <v>3453</v>
      </c>
      <c r="C1237" t="s">
        <v>3327</v>
      </c>
      <c r="D1237">
        <v>-125</v>
      </c>
      <c r="F1237">
        <v>21.44</v>
      </c>
      <c r="G1237" t="s">
        <v>3327</v>
      </c>
    </row>
    <row r="1238" spans="1:7">
      <c r="A1238">
        <v>1200</v>
      </c>
      <c r="B1238" t="s">
        <v>3453</v>
      </c>
      <c r="C1238" t="s">
        <v>3327</v>
      </c>
      <c r="D1238">
        <v>-126</v>
      </c>
      <c r="F1238">
        <v>42.48</v>
      </c>
      <c r="G1238" t="s">
        <v>3327</v>
      </c>
    </row>
    <row r="1239" spans="1:7">
      <c r="A1239">
        <v>1201</v>
      </c>
      <c r="B1239" t="s">
        <v>3453</v>
      </c>
      <c r="C1239" t="s">
        <v>3327</v>
      </c>
      <c r="D1239">
        <v>-127</v>
      </c>
      <c r="F1239">
        <v>31.88</v>
      </c>
      <c r="G1239" t="s">
        <v>3327</v>
      </c>
    </row>
    <row r="1240" spans="1:7">
      <c r="A1240">
        <v>1202</v>
      </c>
      <c r="B1240" t="s">
        <v>3453</v>
      </c>
      <c r="C1240">
        <v>1</v>
      </c>
      <c r="D1240">
        <v>301</v>
      </c>
      <c r="F1240">
        <v>228.69</v>
      </c>
      <c r="G1240" t="s">
        <v>3403</v>
      </c>
    </row>
    <row r="1241" spans="1:7">
      <c r="A1241">
        <v>1203</v>
      </c>
      <c r="B1241" t="s">
        <v>3453</v>
      </c>
      <c r="C1241">
        <v>1</v>
      </c>
      <c r="D1241">
        <v>302</v>
      </c>
      <c r="F1241">
        <v>220.37</v>
      </c>
      <c r="G1241" t="s">
        <v>3403</v>
      </c>
    </row>
    <row r="1242" spans="1:7">
      <c r="A1242">
        <v>1204</v>
      </c>
      <c r="B1242" t="s">
        <v>3453</v>
      </c>
      <c r="C1242" t="s">
        <v>3327</v>
      </c>
      <c r="D1242">
        <v>-201</v>
      </c>
      <c r="F1242">
        <v>22.34</v>
      </c>
      <c r="G1242" t="s">
        <v>3327</v>
      </c>
    </row>
    <row r="1243" spans="1:7">
      <c r="A1243">
        <v>1205</v>
      </c>
      <c r="B1243" t="s">
        <v>3453</v>
      </c>
      <c r="C1243" t="s">
        <v>3327</v>
      </c>
      <c r="D1243">
        <v>-202</v>
      </c>
      <c r="F1243">
        <v>22.59</v>
      </c>
      <c r="G1243" t="s">
        <v>3327</v>
      </c>
    </row>
    <row r="1244" spans="1:7">
      <c r="A1244">
        <v>1206</v>
      </c>
      <c r="B1244" t="s">
        <v>3453</v>
      </c>
      <c r="C1244" t="s">
        <v>3327</v>
      </c>
      <c r="D1244">
        <v>-203</v>
      </c>
      <c r="F1244">
        <v>22.59</v>
      </c>
      <c r="G1244" t="s">
        <v>3327</v>
      </c>
    </row>
    <row r="1245" spans="1:7">
      <c r="A1245">
        <v>1207</v>
      </c>
      <c r="B1245" t="s">
        <v>3453</v>
      </c>
      <c r="C1245" t="s">
        <v>3327</v>
      </c>
      <c r="D1245">
        <v>-204</v>
      </c>
      <c r="F1245">
        <v>25.56</v>
      </c>
      <c r="G1245" t="s">
        <v>3327</v>
      </c>
    </row>
    <row r="1246" spans="1:7">
      <c r="A1246">
        <v>1208</v>
      </c>
      <c r="B1246" t="s">
        <v>3453</v>
      </c>
      <c r="C1246" t="s">
        <v>3327</v>
      </c>
      <c r="D1246">
        <v>-205</v>
      </c>
      <c r="F1246">
        <v>25.56</v>
      </c>
      <c r="G1246" t="s">
        <v>3327</v>
      </c>
    </row>
    <row r="1247" spans="1:7">
      <c r="A1247">
        <v>1209</v>
      </c>
      <c r="B1247" t="s">
        <v>3453</v>
      </c>
      <c r="C1247" t="s">
        <v>3327</v>
      </c>
      <c r="D1247">
        <v>-206</v>
      </c>
      <c r="F1247">
        <v>24.1</v>
      </c>
      <c r="G1247" t="s">
        <v>3327</v>
      </c>
    </row>
    <row r="1248" spans="1:7">
      <c r="A1248">
        <v>1210</v>
      </c>
      <c r="B1248" t="s">
        <v>3453</v>
      </c>
      <c r="C1248" t="s">
        <v>3327</v>
      </c>
      <c r="D1248">
        <v>-207</v>
      </c>
      <c r="F1248">
        <v>24.1</v>
      </c>
      <c r="G1248" t="s">
        <v>3327</v>
      </c>
    </row>
    <row r="1249" spans="1:7">
      <c r="A1249">
        <v>1211</v>
      </c>
      <c r="B1249" t="s">
        <v>3453</v>
      </c>
      <c r="C1249" t="s">
        <v>3327</v>
      </c>
      <c r="D1249">
        <v>-208</v>
      </c>
      <c r="F1249">
        <v>30.67</v>
      </c>
      <c r="G1249" t="s">
        <v>3327</v>
      </c>
    </row>
    <row r="1250" spans="1:7">
      <c r="A1250">
        <v>1212</v>
      </c>
      <c r="B1250" t="s">
        <v>3453</v>
      </c>
      <c r="C1250" t="s">
        <v>3327</v>
      </c>
      <c r="D1250">
        <v>-209</v>
      </c>
      <c r="F1250">
        <v>27.09</v>
      </c>
      <c r="G1250" t="s">
        <v>3327</v>
      </c>
    </row>
    <row r="1251" spans="1:7">
      <c r="A1251">
        <v>1213</v>
      </c>
      <c r="B1251" t="s">
        <v>3453</v>
      </c>
      <c r="C1251" t="s">
        <v>3327</v>
      </c>
      <c r="D1251">
        <v>-210</v>
      </c>
      <c r="F1251">
        <v>21.28</v>
      </c>
      <c r="G1251" t="s">
        <v>3327</v>
      </c>
    </row>
    <row r="1252" spans="1:7">
      <c r="A1252">
        <v>1214</v>
      </c>
      <c r="B1252" t="s">
        <v>3453</v>
      </c>
      <c r="C1252">
        <v>2</v>
      </c>
      <c r="D1252">
        <v>101</v>
      </c>
      <c r="F1252">
        <v>209.66</v>
      </c>
      <c r="G1252" t="s">
        <v>3403</v>
      </c>
    </row>
    <row r="1253" spans="1:7">
      <c r="A1253">
        <v>1215</v>
      </c>
      <c r="B1253" t="s">
        <v>3453</v>
      </c>
      <c r="C1253">
        <v>2</v>
      </c>
      <c r="D1253">
        <v>102</v>
      </c>
      <c r="F1253">
        <v>209.66</v>
      </c>
      <c r="G1253" t="s">
        <v>3403</v>
      </c>
    </row>
    <row r="1254" spans="1:7">
      <c r="A1254">
        <v>1216</v>
      </c>
      <c r="B1254" t="s">
        <v>3453</v>
      </c>
      <c r="C1254" t="s">
        <v>3327</v>
      </c>
      <c r="D1254">
        <v>-211</v>
      </c>
      <c r="F1254">
        <v>21.28</v>
      </c>
      <c r="G1254" t="s">
        <v>3327</v>
      </c>
    </row>
    <row r="1255" spans="1:7">
      <c r="A1255">
        <v>1217</v>
      </c>
      <c r="B1255" t="s">
        <v>3453</v>
      </c>
      <c r="C1255" t="s">
        <v>3327</v>
      </c>
      <c r="D1255">
        <v>-212</v>
      </c>
      <c r="F1255">
        <v>16.77</v>
      </c>
      <c r="G1255" t="s">
        <v>3327</v>
      </c>
    </row>
    <row r="1256" spans="1:7">
      <c r="A1256">
        <v>1218</v>
      </c>
      <c r="B1256" t="s">
        <v>3453</v>
      </c>
      <c r="C1256" t="s">
        <v>3327</v>
      </c>
      <c r="D1256">
        <v>-213</v>
      </c>
      <c r="F1256">
        <v>16.12</v>
      </c>
      <c r="G1256" t="s">
        <v>3327</v>
      </c>
    </row>
    <row r="1257" spans="1:7">
      <c r="A1257">
        <v>1219</v>
      </c>
      <c r="B1257" t="s">
        <v>3453</v>
      </c>
      <c r="C1257" t="s">
        <v>3327</v>
      </c>
      <c r="D1257">
        <v>-216</v>
      </c>
      <c r="F1257">
        <v>22.59</v>
      </c>
      <c r="G1257" t="s">
        <v>3327</v>
      </c>
    </row>
    <row r="1258" spans="1:7">
      <c r="A1258">
        <v>1220</v>
      </c>
      <c r="B1258" t="s">
        <v>3453</v>
      </c>
      <c r="C1258">
        <v>2</v>
      </c>
      <c r="D1258">
        <v>201</v>
      </c>
      <c r="F1258">
        <v>220.37</v>
      </c>
      <c r="G1258" t="s">
        <v>3403</v>
      </c>
    </row>
    <row r="1259" spans="1:7">
      <c r="A1259">
        <v>1221</v>
      </c>
      <c r="B1259" t="s">
        <v>3453</v>
      </c>
      <c r="C1259">
        <v>2</v>
      </c>
      <c r="D1259">
        <v>202</v>
      </c>
      <c r="F1259">
        <v>220.37</v>
      </c>
      <c r="G1259" t="s">
        <v>3403</v>
      </c>
    </row>
    <row r="1260" spans="1:7">
      <c r="A1260">
        <v>1222</v>
      </c>
      <c r="B1260" t="s">
        <v>3453</v>
      </c>
      <c r="C1260">
        <v>2</v>
      </c>
      <c r="D1260">
        <v>301</v>
      </c>
      <c r="F1260">
        <v>220.37</v>
      </c>
      <c r="G1260" t="s">
        <v>3403</v>
      </c>
    </row>
    <row r="1261" spans="1:7">
      <c r="A1261">
        <v>1223</v>
      </c>
      <c r="B1261" t="s">
        <v>3453</v>
      </c>
      <c r="C1261">
        <v>2</v>
      </c>
      <c r="D1261">
        <v>302</v>
      </c>
      <c r="F1261">
        <v>220.37</v>
      </c>
      <c r="G1261" t="s">
        <v>3403</v>
      </c>
    </row>
    <row r="1262" spans="1:7">
      <c r="A1262">
        <v>1224</v>
      </c>
      <c r="B1262" t="s">
        <v>3453</v>
      </c>
      <c r="C1262">
        <v>2</v>
      </c>
      <c r="D1262">
        <v>402</v>
      </c>
      <c r="F1262">
        <v>220.37</v>
      </c>
      <c r="G1262" t="s">
        <v>3403</v>
      </c>
    </row>
    <row r="1263" spans="1:7">
      <c r="A1263">
        <v>1225</v>
      </c>
      <c r="B1263" t="s">
        <v>3453</v>
      </c>
      <c r="C1263">
        <v>3</v>
      </c>
      <c r="D1263">
        <v>202</v>
      </c>
      <c r="F1263">
        <v>228.69</v>
      </c>
      <c r="G1263" t="s">
        <v>3403</v>
      </c>
    </row>
    <row r="1264" spans="1:7">
      <c r="A1264">
        <v>1226</v>
      </c>
      <c r="B1264" t="s">
        <v>3453</v>
      </c>
      <c r="C1264">
        <v>3</v>
      </c>
      <c r="D1264">
        <v>301</v>
      </c>
      <c r="F1264">
        <v>220.37</v>
      </c>
      <c r="G1264" t="s">
        <v>3403</v>
      </c>
    </row>
    <row r="1265" spans="1:7">
      <c r="A1265">
        <v>1227</v>
      </c>
      <c r="B1265" t="s">
        <v>3453</v>
      </c>
      <c r="C1265">
        <v>3</v>
      </c>
      <c r="D1265">
        <v>302</v>
      </c>
      <c r="F1265">
        <v>228.69</v>
      </c>
      <c r="G1265" t="s">
        <v>3403</v>
      </c>
    </row>
    <row r="1266" spans="1:7">
      <c r="A1266">
        <v>1228</v>
      </c>
      <c r="B1266" t="s">
        <v>3453</v>
      </c>
      <c r="C1266">
        <v>3</v>
      </c>
      <c r="D1266">
        <v>401</v>
      </c>
      <c r="F1266">
        <v>220.37</v>
      </c>
      <c r="G1266" t="s">
        <v>3403</v>
      </c>
    </row>
    <row r="1267" spans="1:7">
      <c r="A1267">
        <v>1229</v>
      </c>
      <c r="B1267" t="s">
        <v>3454</v>
      </c>
      <c r="C1267" t="s">
        <v>3327</v>
      </c>
      <c r="D1267">
        <v>-101</v>
      </c>
      <c r="F1267">
        <v>24.49</v>
      </c>
      <c r="G1267" t="s">
        <v>3327</v>
      </c>
    </row>
    <row r="1268" spans="1:7">
      <c r="A1268">
        <v>1230</v>
      </c>
      <c r="B1268" t="s">
        <v>3454</v>
      </c>
      <c r="C1268" t="s">
        <v>3327</v>
      </c>
      <c r="D1268">
        <v>-102</v>
      </c>
      <c r="F1268">
        <v>30.56</v>
      </c>
      <c r="G1268" t="s">
        <v>3327</v>
      </c>
    </row>
    <row r="1269" spans="1:7">
      <c r="A1269">
        <v>1231</v>
      </c>
      <c r="B1269" t="s">
        <v>3454</v>
      </c>
      <c r="C1269" t="s">
        <v>3327</v>
      </c>
      <c r="D1269">
        <v>-103</v>
      </c>
      <c r="F1269">
        <v>56.66</v>
      </c>
      <c r="G1269" t="s">
        <v>3327</v>
      </c>
    </row>
    <row r="1270" spans="1:7">
      <c r="A1270">
        <v>1232</v>
      </c>
      <c r="B1270" t="s">
        <v>3454</v>
      </c>
      <c r="C1270" t="s">
        <v>3327</v>
      </c>
      <c r="D1270">
        <v>-104</v>
      </c>
      <c r="F1270">
        <v>62.27</v>
      </c>
      <c r="G1270" t="s">
        <v>3327</v>
      </c>
    </row>
    <row r="1271" spans="1:7">
      <c r="A1271">
        <v>1233</v>
      </c>
      <c r="B1271" t="s">
        <v>3454</v>
      </c>
      <c r="C1271" t="s">
        <v>3327</v>
      </c>
      <c r="D1271">
        <v>-105</v>
      </c>
      <c r="F1271">
        <v>33.46</v>
      </c>
      <c r="G1271" t="s">
        <v>3327</v>
      </c>
    </row>
    <row r="1272" spans="1:7">
      <c r="A1272">
        <v>1234</v>
      </c>
      <c r="B1272" t="s">
        <v>3454</v>
      </c>
      <c r="C1272" t="s">
        <v>3327</v>
      </c>
      <c r="D1272">
        <v>-106</v>
      </c>
      <c r="F1272">
        <v>33.46</v>
      </c>
      <c r="G1272" t="s">
        <v>3327</v>
      </c>
    </row>
    <row r="1273" spans="1:7">
      <c r="A1273">
        <v>1235</v>
      </c>
      <c r="B1273" t="s">
        <v>3454</v>
      </c>
      <c r="C1273" t="s">
        <v>3327</v>
      </c>
      <c r="D1273">
        <v>-107</v>
      </c>
      <c r="F1273">
        <v>61.99</v>
      </c>
      <c r="G1273" t="s">
        <v>3327</v>
      </c>
    </row>
    <row r="1274" spans="1:7">
      <c r="A1274">
        <v>1236</v>
      </c>
      <c r="B1274" t="s">
        <v>3454</v>
      </c>
      <c r="C1274" t="s">
        <v>3327</v>
      </c>
      <c r="D1274">
        <v>-108</v>
      </c>
      <c r="F1274">
        <v>47</v>
      </c>
      <c r="G1274" t="s">
        <v>3327</v>
      </c>
    </row>
    <row r="1275" spans="1:7">
      <c r="A1275">
        <v>1237</v>
      </c>
      <c r="B1275" t="s">
        <v>3454</v>
      </c>
      <c r="C1275" t="s">
        <v>3327</v>
      </c>
      <c r="D1275">
        <v>-109</v>
      </c>
      <c r="F1275">
        <v>47</v>
      </c>
      <c r="G1275" t="s">
        <v>3327</v>
      </c>
    </row>
    <row r="1276" spans="1:7">
      <c r="A1276">
        <v>1238</v>
      </c>
      <c r="B1276" t="s">
        <v>3454</v>
      </c>
      <c r="C1276" t="s">
        <v>3327</v>
      </c>
      <c r="D1276">
        <v>-110</v>
      </c>
      <c r="F1276">
        <v>61.99</v>
      </c>
      <c r="G1276" t="s">
        <v>3327</v>
      </c>
    </row>
    <row r="1277" spans="1:7">
      <c r="A1277">
        <v>1239</v>
      </c>
      <c r="B1277" t="s">
        <v>3454</v>
      </c>
      <c r="C1277">
        <v>1</v>
      </c>
      <c r="D1277">
        <v>101</v>
      </c>
      <c r="F1277">
        <v>217.75</v>
      </c>
      <c r="G1277" t="s">
        <v>3403</v>
      </c>
    </row>
    <row r="1278" spans="1:7">
      <c r="A1278">
        <v>1240</v>
      </c>
      <c r="B1278" t="s">
        <v>3454</v>
      </c>
      <c r="C1278">
        <v>1</v>
      </c>
      <c r="D1278">
        <v>102</v>
      </c>
      <c r="F1278">
        <v>209.67</v>
      </c>
      <c r="G1278" t="s">
        <v>3403</v>
      </c>
    </row>
    <row r="1279" spans="1:7">
      <c r="A1279">
        <v>1241</v>
      </c>
      <c r="B1279" t="s">
        <v>3454</v>
      </c>
      <c r="C1279" t="s">
        <v>3327</v>
      </c>
      <c r="D1279">
        <v>-111</v>
      </c>
      <c r="F1279">
        <v>33.46</v>
      </c>
      <c r="G1279" t="s">
        <v>3327</v>
      </c>
    </row>
    <row r="1280" spans="1:7">
      <c r="A1280">
        <v>1242</v>
      </c>
      <c r="B1280" t="s">
        <v>3454</v>
      </c>
      <c r="C1280" t="s">
        <v>3327</v>
      </c>
      <c r="D1280">
        <v>-112</v>
      </c>
      <c r="F1280">
        <v>33.46</v>
      </c>
      <c r="G1280" t="s">
        <v>3327</v>
      </c>
    </row>
    <row r="1281" spans="1:7">
      <c r="A1281">
        <v>1243</v>
      </c>
      <c r="B1281" t="s">
        <v>3454</v>
      </c>
      <c r="C1281" t="s">
        <v>3327</v>
      </c>
      <c r="D1281">
        <v>-113</v>
      </c>
      <c r="F1281">
        <v>61.99</v>
      </c>
      <c r="G1281" t="s">
        <v>3327</v>
      </c>
    </row>
    <row r="1282" spans="1:7">
      <c r="A1282">
        <v>1244</v>
      </c>
      <c r="B1282" t="s">
        <v>3454</v>
      </c>
      <c r="C1282" t="s">
        <v>3327</v>
      </c>
      <c r="D1282">
        <v>-114</v>
      </c>
      <c r="F1282">
        <v>46.67</v>
      </c>
      <c r="G1282" t="s">
        <v>3327</v>
      </c>
    </row>
    <row r="1283" spans="1:7">
      <c r="A1283">
        <v>1245</v>
      </c>
      <c r="B1283" t="s">
        <v>3454</v>
      </c>
      <c r="C1283" t="s">
        <v>3327</v>
      </c>
      <c r="D1283">
        <v>-115</v>
      </c>
      <c r="F1283">
        <v>46.67</v>
      </c>
      <c r="G1283" t="s">
        <v>3327</v>
      </c>
    </row>
    <row r="1284" spans="1:7">
      <c r="A1284">
        <v>1246</v>
      </c>
      <c r="B1284" t="s">
        <v>3454</v>
      </c>
      <c r="C1284" t="s">
        <v>3327</v>
      </c>
      <c r="D1284">
        <v>-116</v>
      </c>
      <c r="F1284">
        <v>61.99</v>
      </c>
      <c r="G1284" t="s">
        <v>3327</v>
      </c>
    </row>
    <row r="1285" spans="1:7">
      <c r="A1285">
        <v>1247</v>
      </c>
      <c r="B1285" t="s">
        <v>3454</v>
      </c>
      <c r="C1285" t="s">
        <v>3327</v>
      </c>
      <c r="D1285">
        <v>-117</v>
      </c>
      <c r="F1285">
        <v>33.46</v>
      </c>
      <c r="G1285" t="s">
        <v>3327</v>
      </c>
    </row>
    <row r="1286" spans="1:7">
      <c r="A1286">
        <v>1248</v>
      </c>
      <c r="B1286" t="s">
        <v>3454</v>
      </c>
      <c r="C1286" t="s">
        <v>3327</v>
      </c>
      <c r="D1286">
        <v>-118</v>
      </c>
      <c r="F1286">
        <v>33.46</v>
      </c>
      <c r="G1286" t="s">
        <v>3327</v>
      </c>
    </row>
    <row r="1287" spans="1:7">
      <c r="A1287">
        <v>1249</v>
      </c>
      <c r="B1287" t="s">
        <v>3454</v>
      </c>
      <c r="C1287" t="s">
        <v>3327</v>
      </c>
      <c r="D1287">
        <v>-119</v>
      </c>
      <c r="F1287">
        <v>62.27</v>
      </c>
      <c r="G1287" t="s">
        <v>3327</v>
      </c>
    </row>
    <row r="1288" spans="1:7">
      <c r="A1288">
        <v>1250</v>
      </c>
      <c r="B1288" t="s">
        <v>3454</v>
      </c>
      <c r="C1288" t="s">
        <v>3327</v>
      </c>
      <c r="D1288">
        <v>-120</v>
      </c>
      <c r="F1288">
        <v>56.66</v>
      </c>
      <c r="G1288" t="s">
        <v>3327</v>
      </c>
    </row>
    <row r="1289" spans="1:7">
      <c r="A1289">
        <v>1251</v>
      </c>
      <c r="B1289" t="s">
        <v>3454</v>
      </c>
      <c r="C1289">
        <v>1</v>
      </c>
      <c r="D1289">
        <v>201</v>
      </c>
      <c r="F1289">
        <v>228.69</v>
      </c>
      <c r="G1289" t="s">
        <v>3403</v>
      </c>
    </row>
    <row r="1290" spans="1:7">
      <c r="A1290">
        <v>1252</v>
      </c>
      <c r="B1290" t="s">
        <v>3454</v>
      </c>
      <c r="C1290">
        <v>1</v>
      </c>
      <c r="D1290">
        <v>202</v>
      </c>
      <c r="F1290">
        <v>220.38</v>
      </c>
      <c r="G1290" t="s">
        <v>3403</v>
      </c>
    </row>
    <row r="1291" spans="1:7">
      <c r="A1291">
        <v>1253</v>
      </c>
      <c r="B1291" t="s">
        <v>3454</v>
      </c>
      <c r="C1291" t="s">
        <v>3327</v>
      </c>
      <c r="D1291">
        <v>-121</v>
      </c>
      <c r="F1291">
        <v>30.56</v>
      </c>
      <c r="G1291" t="s">
        <v>3327</v>
      </c>
    </row>
    <row r="1292" spans="1:7">
      <c r="A1292">
        <v>1254</v>
      </c>
      <c r="B1292" t="s">
        <v>3454</v>
      </c>
      <c r="C1292" t="s">
        <v>3327</v>
      </c>
      <c r="D1292">
        <v>-122</v>
      </c>
      <c r="F1292">
        <v>24.49</v>
      </c>
      <c r="G1292" t="s">
        <v>3327</v>
      </c>
    </row>
    <row r="1293" spans="1:7">
      <c r="A1293">
        <v>1255</v>
      </c>
      <c r="B1293" t="s">
        <v>3454</v>
      </c>
      <c r="C1293" t="s">
        <v>3327</v>
      </c>
      <c r="D1293">
        <v>-123</v>
      </c>
      <c r="F1293">
        <v>28.34</v>
      </c>
      <c r="G1293" t="s">
        <v>3327</v>
      </c>
    </row>
    <row r="1294" spans="1:7">
      <c r="A1294">
        <v>1256</v>
      </c>
      <c r="B1294" t="s">
        <v>3454</v>
      </c>
      <c r="C1294" t="s">
        <v>3327</v>
      </c>
      <c r="D1294">
        <v>-124</v>
      </c>
      <c r="F1294">
        <v>33.020000000000003</v>
      </c>
      <c r="G1294" t="s">
        <v>3327</v>
      </c>
    </row>
    <row r="1295" spans="1:7">
      <c r="A1295">
        <v>1257</v>
      </c>
      <c r="B1295" t="s">
        <v>3454</v>
      </c>
      <c r="C1295" t="s">
        <v>3327</v>
      </c>
      <c r="D1295">
        <v>-125</v>
      </c>
      <c r="F1295">
        <v>21.61</v>
      </c>
      <c r="G1295" t="s">
        <v>3327</v>
      </c>
    </row>
    <row r="1296" spans="1:7">
      <c r="A1296">
        <v>1258</v>
      </c>
      <c r="B1296" t="s">
        <v>3454</v>
      </c>
      <c r="C1296" t="s">
        <v>3327</v>
      </c>
      <c r="D1296">
        <v>-126</v>
      </c>
      <c r="F1296">
        <v>42.81</v>
      </c>
      <c r="G1296" t="s">
        <v>3327</v>
      </c>
    </row>
    <row r="1297" spans="1:7">
      <c r="A1297">
        <v>1259</v>
      </c>
      <c r="B1297" t="s">
        <v>3454</v>
      </c>
      <c r="C1297" t="s">
        <v>3327</v>
      </c>
      <c r="D1297">
        <v>-127</v>
      </c>
      <c r="F1297">
        <v>32.130000000000003</v>
      </c>
      <c r="G1297" t="s">
        <v>3327</v>
      </c>
    </row>
    <row r="1298" spans="1:7">
      <c r="A1298">
        <v>1260</v>
      </c>
      <c r="B1298" t="s">
        <v>3454</v>
      </c>
      <c r="C1298">
        <v>1</v>
      </c>
      <c r="D1298">
        <v>302</v>
      </c>
      <c r="F1298">
        <v>220.38</v>
      </c>
      <c r="G1298" t="s">
        <v>3403</v>
      </c>
    </row>
    <row r="1299" spans="1:7">
      <c r="A1299">
        <v>1261</v>
      </c>
      <c r="B1299" t="s">
        <v>3454</v>
      </c>
      <c r="C1299" t="s">
        <v>3327</v>
      </c>
      <c r="D1299">
        <v>-201</v>
      </c>
      <c r="F1299">
        <v>22.51</v>
      </c>
      <c r="G1299" t="s">
        <v>3327</v>
      </c>
    </row>
    <row r="1300" spans="1:7">
      <c r="A1300">
        <v>1262</v>
      </c>
      <c r="B1300" t="s">
        <v>3454</v>
      </c>
      <c r="C1300" t="s">
        <v>3327</v>
      </c>
      <c r="D1300">
        <v>-202</v>
      </c>
      <c r="F1300">
        <v>25.39</v>
      </c>
      <c r="G1300" t="s">
        <v>3327</v>
      </c>
    </row>
    <row r="1301" spans="1:7">
      <c r="A1301">
        <v>1263</v>
      </c>
      <c r="B1301" t="s">
        <v>3454</v>
      </c>
      <c r="C1301" t="s">
        <v>3327</v>
      </c>
      <c r="D1301">
        <v>-203</v>
      </c>
      <c r="F1301">
        <v>26.12</v>
      </c>
      <c r="G1301" t="s">
        <v>3327</v>
      </c>
    </row>
    <row r="1302" spans="1:7">
      <c r="A1302">
        <v>1264</v>
      </c>
      <c r="B1302" t="s">
        <v>3454</v>
      </c>
      <c r="C1302" t="s">
        <v>3327</v>
      </c>
      <c r="D1302">
        <v>-204</v>
      </c>
      <c r="F1302">
        <v>24.28</v>
      </c>
      <c r="G1302" t="s">
        <v>3327</v>
      </c>
    </row>
    <row r="1303" spans="1:7">
      <c r="A1303">
        <v>1265</v>
      </c>
      <c r="B1303" t="s">
        <v>3454</v>
      </c>
      <c r="C1303" t="s">
        <v>3327</v>
      </c>
      <c r="D1303">
        <v>-205</v>
      </c>
      <c r="F1303">
        <v>24.28</v>
      </c>
      <c r="G1303" t="s">
        <v>3327</v>
      </c>
    </row>
    <row r="1304" spans="1:7">
      <c r="A1304">
        <v>1266</v>
      </c>
      <c r="B1304" t="s">
        <v>3454</v>
      </c>
      <c r="C1304" t="s">
        <v>3327</v>
      </c>
      <c r="D1304">
        <v>-206</v>
      </c>
      <c r="F1304">
        <v>32</v>
      </c>
      <c r="G1304" t="s">
        <v>3327</v>
      </c>
    </row>
    <row r="1305" spans="1:7">
      <c r="A1305">
        <v>1267</v>
      </c>
      <c r="B1305" t="s">
        <v>3454</v>
      </c>
      <c r="C1305" t="s">
        <v>3327</v>
      </c>
      <c r="D1305">
        <v>-207</v>
      </c>
      <c r="F1305">
        <v>32</v>
      </c>
      <c r="G1305" t="s">
        <v>3327</v>
      </c>
    </row>
    <row r="1306" spans="1:7">
      <c r="A1306">
        <v>1268</v>
      </c>
      <c r="B1306" t="s">
        <v>3454</v>
      </c>
      <c r="C1306" t="s">
        <v>3327</v>
      </c>
      <c r="D1306">
        <v>-208</v>
      </c>
      <c r="F1306">
        <v>21.5</v>
      </c>
      <c r="G1306" t="s">
        <v>3327</v>
      </c>
    </row>
    <row r="1307" spans="1:7">
      <c r="A1307">
        <v>1269</v>
      </c>
      <c r="B1307" t="s">
        <v>3454</v>
      </c>
      <c r="C1307" t="s">
        <v>3327</v>
      </c>
      <c r="D1307">
        <v>-209</v>
      </c>
      <c r="F1307">
        <v>22.76</v>
      </c>
      <c r="G1307" t="s">
        <v>3327</v>
      </c>
    </row>
    <row r="1308" spans="1:7">
      <c r="A1308">
        <v>1270</v>
      </c>
      <c r="B1308" t="s">
        <v>3454</v>
      </c>
      <c r="C1308" t="s">
        <v>3327</v>
      </c>
      <c r="D1308">
        <v>-210</v>
      </c>
      <c r="F1308">
        <v>22.76</v>
      </c>
      <c r="G1308" t="s">
        <v>3327</v>
      </c>
    </row>
    <row r="1309" spans="1:7">
      <c r="A1309">
        <v>1271</v>
      </c>
      <c r="B1309" t="s">
        <v>3454</v>
      </c>
      <c r="C1309">
        <v>2</v>
      </c>
      <c r="D1309">
        <v>101</v>
      </c>
      <c r="F1309">
        <v>209.67</v>
      </c>
      <c r="G1309" t="s">
        <v>3403</v>
      </c>
    </row>
    <row r="1310" spans="1:7">
      <c r="A1310">
        <v>1272</v>
      </c>
      <c r="B1310" t="s">
        <v>3454</v>
      </c>
      <c r="C1310">
        <v>2</v>
      </c>
      <c r="D1310">
        <v>102</v>
      </c>
      <c r="F1310">
        <v>209.67</v>
      </c>
      <c r="G1310" t="s">
        <v>3403</v>
      </c>
    </row>
    <row r="1311" spans="1:7">
      <c r="A1311">
        <v>1273</v>
      </c>
      <c r="B1311" t="s">
        <v>3454</v>
      </c>
      <c r="C1311" t="s">
        <v>3327</v>
      </c>
      <c r="D1311">
        <v>-211</v>
      </c>
      <c r="F1311">
        <v>22.76</v>
      </c>
      <c r="G1311" t="s">
        <v>3327</v>
      </c>
    </row>
    <row r="1312" spans="1:7">
      <c r="A1312">
        <v>1274</v>
      </c>
      <c r="B1312" t="s">
        <v>3454</v>
      </c>
      <c r="C1312" t="s">
        <v>3327</v>
      </c>
      <c r="D1312">
        <v>-212</v>
      </c>
      <c r="F1312">
        <v>22.76</v>
      </c>
      <c r="G1312" t="s">
        <v>3327</v>
      </c>
    </row>
    <row r="1313" spans="1:7">
      <c r="A1313">
        <v>1275</v>
      </c>
      <c r="B1313" t="s">
        <v>3454</v>
      </c>
      <c r="C1313">
        <v>2</v>
      </c>
      <c r="D1313">
        <v>201</v>
      </c>
      <c r="F1313">
        <v>220.38</v>
      </c>
      <c r="G1313" t="s">
        <v>3403</v>
      </c>
    </row>
    <row r="1314" spans="1:7">
      <c r="A1314">
        <v>1276</v>
      </c>
      <c r="B1314" t="s">
        <v>3454</v>
      </c>
      <c r="C1314">
        <v>2</v>
      </c>
      <c r="D1314">
        <v>202</v>
      </c>
      <c r="F1314">
        <v>220.38</v>
      </c>
      <c r="G1314" t="s">
        <v>3403</v>
      </c>
    </row>
    <row r="1315" spans="1:7">
      <c r="A1315">
        <v>1277</v>
      </c>
      <c r="B1315" t="s">
        <v>3454</v>
      </c>
      <c r="C1315">
        <v>2</v>
      </c>
      <c r="D1315">
        <v>301</v>
      </c>
      <c r="F1315">
        <v>220.38</v>
      </c>
      <c r="G1315" t="s">
        <v>3403</v>
      </c>
    </row>
    <row r="1316" spans="1:7">
      <c r="A1316">
        <v>1278</v>
      </c>
      <c r="B1316" t="s">
        <v>3454</v>
      </c>
      <c r="C1316">
        <v>2</v>
      </c>
      <c r="D1316">
        <v>302</v>
      </c>
      <c r="F1316">
        <v>220.38</v>
      </c>
      <c r="G1316" t="s">
        <v>3403</v>
      </c>
    </row>
    <row r="1317" spans="1:7">
      <c r="A1317">
        <v>1279</v>
      </c>
      <c r="B1317" t="s">
        <v>3454</v>
      </c>
      <c r="C1317">
        <v>2</v>
      </c>
      <c r="D1317">
        <v>401</v>
      </c>
      <c r="F1317">
        <v>220.38</v>
      </c>
      <c r="G1317" t="s">
        <v>3403</v>
      </c>
    </row>
    <row r="1318" spans="1:7">
      <c r="A1318">
        <v>1280</v>
      </c>
      <c r="B1318" t="s">
        <v>3454</v>
      </c>
      <c r="C1318">
        <v>2</v>
      </c>
      <c r="D1318">
        <v>402</v>
      </c>
      <c r="F1318">
        <v>220.38</v>
      </c>
      <c r="G1318" t="s">
        <v>3403</v>
      </c>
    </row>
    <row r="1319" spans="1:7">
      <c r="A1319">
        <v>1281</v>
      </c>
      <c r="B1319" t="s">
        <v>3454</v>
      </c>
      <c r="C1319">
        <v>3</v>
      </c>
      <c r="D1319">
        <v>101</v>
      </c>
      <c r="F1319">
        <v>209.67</v>
      </c>
      <c r="G1319" t="s">
        <v>3403</v>
      </c>
    </row>
    <row r="1320" spans="1:7">
      <c r="A1320">
        <v>1282</v>
      </c>
      <c r="B1320" t="s">
        <v>3454</v>
      </c>
      <c r="C1320">
        <v>3</v>
      </c>
      <c r="D1320">
        <v>102</v>
      </c>
      <c r="F1320">
        <v>217.75</v>
      </c>
      <c r="G1320" t="s">
        <v>3403</v>
      </c>
    </row>
    <row r="1321" spans="1:7">
      <c r="A1321">
        <v>1283</v>
      </c>
      <c r="B1321" t="s">
        <v>3454</v>
      </c>
      <c r="C1321">
        <v>3</v>
      </c>
      <c r="D1321">
        <v>201</v>
      </c>
      <c r="F1321">
        <v>220.38</v>
      </c>
      <c r="G1321" t="s">
        <v>3403</v>
      </c>
    </row>
    <row r="1322" spans="1:7">
      <c r="A1322">
        <v>1284</v>
      </c>
      <c r="B1322" t="s">
        <v>3454</v>
      </c>
      <c r="C1322">
        <v>3</v>
      </c>
      <c r="D1322">
        <v>202</v>
      </c>
      <c r="F1322">
        <v>228.69</v>
      </c>
      <c r="G1322" t="s">
        <v>3403</v>
      </c>
    </row>
    <row r="1323" spans="1:7">
      <c r="A1323">
        <v>1285</v>
      </c>
      <c r="B1323" t="s">
        <v>3454</v>
      </c>
      <c r="C1323">
        <v>3</v>
      </c>
      <c r="D1323">
        <v>301</v>
      </c>
      <c r="F1323">
        <v>220.38</v>
      </c>
      <c r="G1323" t="s">
        <v>3403</v>
      </c>
    </row>
    <row r="1324" spans="1:7">
      <c r="A1324">
        <v>1286</v>
      </c>
      <c r="B1324" t="s">
        <v>3454</v>
      </c>
      <c r="C1324">
        <v>3</v>
      </c>
      <c r="D1324">
        <v>302</v>
      </c>
      <c r="F1324">
        <v>228.69</v>
      </c>
      <c r="G1324" t="s">
        <v>3403</v>
      </c>
    </row>
    <row r="1325" spans="1:7">
      <c r="A1325">
        <v>1287</v>
      </c>
      <c r="B1325" t="s">
        <v>3454</v>
      </c>
      <c r="C1325">
        <v>3</v>
      </c>
      <c r="D1325">
        <v>401</v>
      </c>
      <c r="F1325">
        <v>220.38</v>
      </c>
      <c r="G1325" t="s">
        <v>3403</v>
      </c>
    </row>
    <row r="1326" spans="1:7">
      <c r="A1326">
        <v>1288</v>
      </c>
      <c r="B1326" t="s">
        <v>3454</v>
      </c>
      <c r="C1326">
        <v>3</v>
      </c>
      <c r="D1326">
        <v>402</v>
      </c>
      <c r="F1326">
        <v>228.69</v>
      </c>
      <c r="G1326" t="s">
        <v>3403</v>
      </c>
    </row>
    <row r="1327" spans="1:7">
      <c r="A1327">
        <v>1289</v>
      </c>
      <c r="B1327" t="s">
        <v>3455</v>
      </c>
      <c r="C1327" t="s">
        <v>3327</v>
      </c>
      <c r="D1327">
        <v>-106</v>
      </c>
      <c r="F1327">
        <v>23.66</v>
      </c>
      <c r="G1327" t="s">
        <v>3327</v>
      </c>
    </row>
    <row r="1328" spans="1:7">
      <c r="A1328">
        <v>1290</v>
      </c>
      <c r="B1328" t="s">
        <v>3455</v>
      </c>
      <c r="C1328" t="s">
        <v>3327</v>
      </c>
      <c r="D1328">
        <v>-107</v>
      </c>
      <c r="F1328">
        <v>56.69</v>
      </c>
      <c r="G1328" t="s">
        <v>3327</v>
      </c>
    </row>
    <row r="1329" spans="1:7">
      <c r="A1329">
        <v>1291</v>
      </c>
      <c r="B1329" t="s">
        <v>3455</v>
      </c>
      <c r="C1329" t="s">
        <v>3327</v>
      </c>
      <c r="D1329">
        <v>-108</v>
      </c>
      <c r="F1329">
        <v>41.45</v>
      </c>
      <c r="G1329" t="s">
        <v>3327</v>
      </c>
    </row>
    <row r="1330" spans="1:7">
      <c r="A1330">
        <v>1292</v>
      </c>
      <c r="B1330" t="s">
        <v>3455</v>
      </c>
      <c r="C1330" t="s">
        <v>3327</v>
      </c>
      <c r="D1330">
        <v>-109</v>
      </c>
      <c r="F1330">
        <v>41.45</v>
      </c>
      <c r="G1330" t="s">
        <v>3327</v>
      </c>
    </row>
    <row r="1331" spans="1:7">
      <c r="A1331">
        <v>1293</v>
      </c>
      <c r="B1331" t="s">
        <v>3455</v>
      </c>
      <c r="C1331" t="s">
        <v>3327</v>
      </c>
      <c r="D1331">
        <v>-110</v>
      </c>
      <c r="F1331">
        <v>56.69</v>
      </c>
      <c r="G1331" t="s">
        <v>3327</v>
      </c>
    </row>
    <row r="1332" spans="1:7">
      <c r="A1332">
        <v>1294</v>
      </c>
      <c r="B1332" t="s">
        <v>3455</v>
      </c>
      <c r="C1332">
        <v>1</v>
      </c>
      <c r="D1332">
        <v>102</v>
      </c>
      <c r="F1332">
        <v>168.11</v>
      </c>
      <c r="G1332" t="s">
        <v>3403</v>
      </c>
    </row>
    <row r="1333" spans="1:7">
      <c r="A1333">
        <v>1295</v>
      </c>
      <c r="B1333" t="s">
        <v>3455</v>
      </c>
      <c r="C1333" t="s">
        <v>3327</v>
      </c>
      <c r="D1333">
        <v>-111</v>
      </c>
      <c r="F1333">
        <v>23.66</v>
      </c>
      <c r="G1333" t="s">
        <v>3327</v>
      </c>
    </row>
    <row r="1334" spans="1:7">
      <c r="A1334">
        <v>1296</v>
      </c>
      <c r="B1334" t="s">
        <v>3455</v>
      </c>
      <c r="C1334" t="s">
        <v>3327</v>
      </c>
      <c r="D1334">
        <v>-112</v>
      </c>
      <c r="F1334">
        <v>23.66</v>
      </c>
      <c r="G1334" t="s">
        <v>3327</v>
      </c>
    </row>
    <row r="1335" spans="1:7">
      <c r="A1335">
        <v>1297</v>
      </c>
      <c r="B1335" t="s">
        <v>3455</v>
      </c>
      <c r="C1335" t="s">
        <v>3327</v>
      </c>
      <c r="D1335">
        <v>-113</v>
      </c>
      <c r="F1335">
        <v>56.69</v>
      </c>
      <c r="G1335" t="s">
        <v>3327</v>
      </c>
    </row>
    <row r="1336" spans="1:7">
      <c r="A1336">
        <v>1298</v>
      </c>
      <c r="B1336" t="s">
        <v>3455</v>
      </c>
      <c r="C1336" t="s">
        <v>3327</v>
      </c>
      <c r="D1336">
        <v>-114</v>
      </c>
      <c r="F1336">
        <v>41.15</v>
      </c>
      <c r="G1336" t="s">
        <v>3327</v>
      </c>
    </row>
    <row r="1337" spans="1:7">
      <c r="A1337">
        <v>1299</v>
      </c>
      <c r="B1337" t="s">
        <v>3455</v>
      </c>
      <c r="C1337" t="s">
        <v>3327</v>
      </c>
      <c r="D1337">
        <v>-115</v>
      </c>
      <c r="F1337">
        <v>41.15</v>
      </c>
      <c r="G1337" t="s">
        <v>3327</v>
      </c>
    </row>
    <row r="1338" spans="1:7">
      <c r="A1338">
        <v>1300</v>
      </c>
      <c r="B1338" t="s">
        <v>3455</v>
      </c>
      <c r="C1338" t="s">
        <v>3327</v>
      </c>
      <c r="D1338">
        <v>-116</v>
      </c>
      <c r="F1338">
        <v>56.69</v>
      </c>
      <c r="G1338" t="s">
        <v>3327</v>
      </c>
    </row>
    <row r="1339" spans="1:7">
      <c r="A1339">
        <v>1301</v>
      </c>
      <c r="B1339" t="s">
        <v>3455</v>
      </c>
      <c r="C1339" t="s">
        <v>3327</v>
      </c>
      <c r="D1339">
        <v>-117</v>
      </c>
      <c r="F1339">
        <v>23.66</v>
      </c>
      <c r="G1339" t="s">
        <v>3327</v>
      </c>
    </row>
    <row r="1340" spans="1:7">
      <c r="A1340">
        <v>1302</v>
      </c>
      <c r="B1340" t="s">
        <v>3455</v>
      </c>
      <c r="C1340" t="s">
        <v>3327</v>
      </c>
      <c r="D1340">
        <v>-118</v>
      </c>
      <c r="F1340">
        <v>23.66</v>
      </c>
      <c r="G1340" t="s">
        <v>3327</v>
      </c>
    </row>
    <row r="1341" spans="1:7">
      <c r="A1341">
        <v>1303</v>
      </c>
      <c r="B1341" t="s">
        <v>3455</v>
      </c>
      <c r="C1341" t="s">
        <v>3327</v>
      </c>
      <c r="D1341">
        <v>-119</v>
      </c>
      <c r="F1341">
        <v>49.65</v>
      </c>
      <c r="G1341" t="s">
        <v>3327</v>
      </c>
    </row>
    <row r="1342" spans="1:7">
      <c r="A1342">
        <v>1304</v>
      </c>
      <c r="B1342" t="s">
        <v>3455</v>
      </c>
      <c r="C1342" t="s">
        <v>3327</v>
      </c>
      <c r="D1342">
        <v>-120</v>
      </c>
      <c r="F1342">
        <v>48.02</v>
      </c>
      <c r="G1342" t="s">
        <v>3327</v>
      </c>
    </row>
    <row r="1343" spans="1:7">
      <c r="A1343">
        <v>1305</v>
      </c>
      <c r="B1343" t="s">
        <v>3455</v>
      </c>
      <c r="C1343">
        <v>1</v>
      </c>
      <c r="D1343">
        <v>201</v>
      </c>
      <c r="F1343">
        <v>192.59</v>
      </c>
      <c r="G1343" t="s">
        <v>3403</v>
      </c>
    </row>
    <row r="1344" spans="1:7">
      <c r="A1344">
        <v>1306</v>
      </c>
      <c r="B1344" t="s">
        <v>3455</v>
      </c>
      <c r="C1344" t="s">
        <v>3327</v>
      </c>
      <c r="D1344">
        <v>-121</v>
      </c>
      <c r="F1344">
        <v>22.82</v>
      </c>
      <c r="G1344" t="s">
        <v>3327</v>
      </c>
    </row>
    <row r="1345" spans="1:7">
      <c r="A1345">
        <v>1307</v>
      </c>
      <c r="B1345" t="s">
        <v>3455</v>
      </c>
      <c r="C1345" t="s">
        <v>3327</v>
      </c>
      <c r="D1345">
        <v>-122</v>
      </c>
      <c r="F1345">
        <v>28.01</v>
      </c>
      <c r="G1345" t="s">
        <v>3327</v>
      </c>
    </row>
    <row r="1346" spans="1:7">
      <c r="A1346">
        <v>1308</v>
      </c>
      <c r="B1346" t="s">
        <v>3455</v>
      </c>
      <c r="C1346" t="s">
        <v>3327</v>
      </c>
      <c r="D1346">
        <v>-123</v>
      </c>
      <c r="F1346">
        <v>27.65</v>
      </c>
      <c r="G1346" t="s">
        <v>3327</v>
      </c>
    </row>
    <row r="1347" spans="1:7">
      <c r="A1347">
        <v>1309</v>
      </c>
      <c r="B1347" t="s">
        <v>3455</v>
      </c>
      <c r="C1347" t="s">
        <v>3327</v>
      </c>
      <c r="D1347">
        <v>-124</v>
      </c>
      <c r="F1347">
        <v>19.170000000000002</v>
      </c>
      <c r="G1347" t="s">
        <v>3327</v>
      </c>
    </row>
    <row r="1348" spans="1:7">
      <c r="A1348">
        <v>1310</v>
      </c>
      <c r="B1348" t="s">
        <v>3455</v>
      </c>
      <c r="C1348" t="s">
        <v>3327</v>
      </c>
      <c r="D1348">
        <v>-125</v>
      </c>
      <c r="F1348">
        <v>19.170000000000002</v>
      </c>
      <c r="G1348" t="s">
        <v>3327</v>
      </c>
    </row>
    <row r="1349" spans="1:7">
      <c r="A1349">
        <v>1311</v>
      </c>
      <c r="B1349" t="s">
        <v>3455</v>
      </c>
      <c r="C1349" t="s">
        <v>3327</v>
      </c>
      <c r="D1349">
        <v>-126</v>
      </c>
      <c r="F1349">
        <v>27.82</v>
      </c>
      <c r="G1349" t="s">
        <v>3327</v>
      </c>
    </row>
    <row r="1350" spans="1:7">
      <c r="A1350">
        <v>1312</v>
      </c>
      <c r="B1350" t="s">
        <v>3455</v>
      </c>
      <c r="C1350" t="s">
        <v>3327</v>
      </c>
      <c r="D1350">
        <v>-127</v>
      </c>
      <c r="F1350">
        <v>27.65</v>
      </c>
      <c r="G1350" t="s">
        <v>3327</v>
      </c>
    </row>
    <row r="1351" spans="1:7">
      <c r="A1351">
        <v>1313</v>
      </c>
      <c r="B1351" t="s">
        <v>3455</v>
      </c>
      <c r="C1351" t="s">
        <v>3327</v>
      </c>
      <c r="D1351">
        <v>-128</v>
      </c>
      <c r="F1351">
        <v>19.809999999999999</v>
      </c>
      <c r="G1351" t="s">
        <v>3327</v>
      </c>
    </row>
    <row r="1352" spans="1:7">
      <c r="A1352">
        <v>1314</v>
      </c>
      <c r="B1352" t="s">
        <v>3455</v>
      </c>
      <c r="C1352" t="s">
        <v>3327</v>
      </c>
      <c r="D1352">
        <v>-129</v>
      </c>
      <c r="F1352">
        <v>19.809999999999999</v>
      </c>
      <c r="G1352" t="s">
        <v>3327</v>
      </c>
    </row>
    <row r="1353" spans="1:7">
      <c r="A1353">
        <v>1315</v>
      </c>
      <c r="B1353" t="s">
        <v>3455</v>
      </c>
      <c r="C1353" t="s">
        <v>3327</v>
      </c>
      <c r="D1353">
        <v>-130</v>
      </c>
      <c r="F1353">
        <v>27.65</v>
      </c>
      <c r="G1353" t="s">
        <v>3327</v>
      </c>
    </row>
    <row r="1354" spans="1:7">
      <c r="A1354">
        <v>1316</v>
      </c>
      <c r="B1354" t="s">
        <v>3455</v>
      </c>
      <c r="C1354">
        <v>1</v>
      </c>
      <c r="D1354">
        <v>301</v>
      </c>
      <c r="F1354">
        <v>192.59</v>
      </c>
      <c r="G1354" t="s">
        <v>3403</v>
      </c>
    </row>
    <row r="1355" spans="1:7">
      <c r="A1355">
        <v>1317</v>
      </c>
      <c r="B1355" t="s">
        <v>3455</v>
      </c>
      <c r="C1355" t="s">
        <v>3327</v>
      </c>
      <c r="D1355">
        <v>-202</v>
      </c>
      <c r="F1355">
        <v>16.36</v>
      </c>
      <c r="G1355" t="s">
        <v>3327</v>
      </c>
    </row>
    <row r="1356" spans="1:7">
      <c r="A1356">
        <v>1318</v>
      </c>
      <c r="B1356" t="s">
        <v>3455</v>
      </c>
      <c r="C1356" t="s">
        <v>3327</v>
      </c>
      <c r="D1356">
        <v>-203</v>
      </c>
      <c r="F1356">
        <v>12.4</v>
      </c>
      <c r="G1356" t="s">
        <v>3327</v>
      </c>
    </row>
    <row r="1357" spans="1:7">
      <c r="A1357">
        <v>1319</v>
      </c>
      <c r="B1357" t="s">
        <v>3455</v>
      </c>
      <c r="C1357" t="s">
        <v>3327</v>
      </c>
      <c r="D1357">
        <v>-204</v>
      </c>
      <c r="F1357">
        <v>16.36</v>
      </c>
      <c r="G1357" t="s">
        <v>3327</v>
      </c>
    </row>
    <row r="1358" spans="1:7">
      <c r="A1358">
        <v>1320</v>
      </c>
      <c r="B1358" t="s">
        <v>3455</v>
      </c>
      <c r="C1358" t="s">
        <v>3327</v>
      </c>
      <c r="D1358">
        <v>-205</v>
      </c>
      <c r="F1358">
        <v>16.36</v>
      </c>
      <c r="G1358" t="s">
        <v>3327</v>
      </c>
    </row>
    <row r="1359" spans="1:7">
      <c r="A1359">
        <v>1321</v>
      </c>
      <c r="B1359" t="s">
        <v>3455</v>
      </c>
      <c r="C1359" t="s">
        <v>3327</v>
      </c>
      <c r="D1359">
        <v>-206</v>
      </c>
      <c r="F1359">
        <v>17.04</v>
      </c>
      <c r="G1359" t="s">
        <v>3327</v>
      </c>
    </row>
    <row r="1360" spans="1:7">
      <c r="A1360">
        <v>1322</v>
      </c>
      <c r="B1360" t="s">
        <v>3455</v>
      </c>
      <c r="C1360">
        <v>2</v>
      </c>
      <c r="D1360">
        <v>101</v>
      </c>
      <c r="F1360">
        <v>168.11</v>
      </c>
      <c r="G1360" t="s">
        <v>3403</v>
      </c>
    </row>
    <row r="1361" spans="1:7">
      <c r="A1361">
        <v>1323</v>
      </c>
      <c r="B1361" t="s">
        <v>3455</v>
      </c>
      <c r="C1361">
        <v>2</v>
      </c>
      <c r="D1361">
        <v>102</v>
      </c>
      <c r="F1361">
        <v>184.49</v>
      </c>
      <c r="G1361" t="s">
        <v>3403</v>
      </c>
    </row>
    <row r="1362" spans="1:7">
      <c r="A1362">
        <v>1324</v>
      </c>
      <c r="B1362" t="s">
        <v>3455</v>
      </c>
      <c r="C1362">
        <v>2</v>
      </c>
      <c r="D1362">
        <v>302</v>
      </c>
      <c r="F1362">
        <v>184.52</v>
      </c>
      <c r="G1362" t="s">
        <v>3403</v>
      </c>
    </row>
    <row r="1363" spans="1:7">
      <c r="A1363">
        <v>1325</v>
      </c>
      <c r="B1363" t="s">
        <v>3455</v>
      </c>
      <c r="C1363">
        <v>3</v>
      </c>
      <c r="D1363">
        <v>101</v>
      </c>
      <c r="F1363">
        <v>168.11</v>
      </c>
      <c r="G1363" t="s">
        <v>3403</v>
      </c>
    </row>
    <row r="1364" spans="1:7">
      <c r="A1364">
        <v>1326</v>
      </c>
      <c r="B1364" t="s">
        <v>3455</v>
      </c>
      <c r="C1364">
        <v>3</v>
      </c>
      <c r="D1364">
        <v>102</v>
      </c>
      <c r="F1364">
        <v>184.99</v>
      </c>
      <c r="G1364" t="s">
        <v>3403</v>
      </c>
    </row>
    <row r="1365" spans="1:7">
      <c r="A1365">
        <v>1327</v>
      </c>
      <c r="B1365" t="s">
        <v>3455</v>
      </c>
      <c r="C1365">
        <v>3</v>
      </c>
      <c r="D1365">
        <v>202</v>
      </c>
      <c r="F1365">
        <v>185.02</v>
      </c>
      <c r="G1365" t="s">
        <v>3403</v>
      </c>
    </row>
    <row r="1366" spans="1:7">
      <c r="A1366">
        <v>1328</v>
      </c>
      <c r="B1366" t="s">
        <v>3455</v>
      </c>
      <c r="C1366">
        <v>3</v>
      </c>
      <c r="D1366">
        <v>302</v>
      </c>
      <c r="F1366">
        <v>185.02</v>
      </c>
      <c r="G1366" t="s">
        <v>3403</v>
      </c>
    </row>
    <row r="1367" spans="1:7">
      <c r="A1367">
        <v>1329</v>
      </c>
      <c r="B1367" t="s">
        <v>3455</v>
      </c>
      <c r="C1367">
        <v>3</v>
      </c>
      <c r="D1367">
        <v>402</v>
      </c>
      <c r="F1367">
        <v>185.02</v>
      </c>
      <c r="G1367" t="s">
        <v>3403</v>
      </c>
    </row>
    <row r="1368" spans="1:7">
      <c r="A1368">
        <v>1330</v>
      </c>
      <c r="B1368" t="s">
        <v>3456</v>
      </c>
      <c r="C1368" t="s">
        <v>3327</v>
      </c>
      <c r="D1368">
        <v>-101</v>
      </c>
      <c r="F1368">
        <v>31.03</v>
      </c>
      <c r="G1368" t="s">
        <v>3327</v>
      </c>
    </row>
    <row r="1369" spans="1:7">
      <c r="A1369">
        <v>1331</v>
      </c>
      <c r="B1369" t="s">
        <v>3456</v>
      </c>
      <c r="C1369" t="s">
        <v>3327</v>
      </c>
      <c r="D1369">
        <v>-102</v>
      </c>
      <c r="F1369">
        <v>16.079999999999998</v>
      </c>
      <c r="G1369" t="s">
        <v>3327</v>
      </c>
    </row>
    <row r="1370" spans="1:7">
      <c r="A1370">
        <v>1332</v>
      </c>
      <c r="B1370" t="s">
        <v>3456</v>
      </c>
      <c r="C1370" t="s">
        <v>3327</v>
      </c>
      <c r="D1370">
        <v>-103</v>
      </c>
      <c r="F1370">
        <v>46.54</v>
      </c>
      <c r="G1370" t="s">
        <v>3327</v>
      </c>
    </row>
    <row r="1371" spans="1:7">
      <c r="A1371">
        <v>1333</v>
      </c>
      <c r="B1371" t="s">
        <v>3456</v>
      </c>
      <c r="C1371" t="s">
        <v>3327</v>
      </c>
      <c r="D1371">
        <v>-104</v>
      </c>
      <c r="F1371">
        <v>53.76</v>
      </c>
      <c r="G1371" t="s">
        <v>3327</v>
      </c>
    </row>
    <row r="1372" spans="1:7">
      <c r="A1372">
        <v>1334</v>
      </c>
      <c r="B1372" t="s">
        <v>3456</v>
      </c>
      <c r="C1372" t="s">
        <v>3327</v>
      </c>
      <c r="D1372">
        <v>-105</v>
      </c>
      <c r="F1372">
        <v>23.66</v>
      </c>
      <c r="G1372" t="s">
        <v>3327</v>
      </c>
    </row>
    <row r="1373" spans="1:7">
      <c r="A1373">
        <v>1335</v>
      </c>
      <c r="B1373" t="s">
        <v>3456</v>
      </c>
      <c r="C1373" t="s">
        <v>3327</v>
      </c>
      <c r="D1373">
        <v>-106</v>
      </c>
      <c r="F1373">
        <v>23.66</v>
      </c>
      <c r="G1373" t="s">
        <v>3327</v>
      </c>
    </row>
    <row r="1374" spans="1:7">
      <c r="A1374">
        <v>1336</v>
      </c>
      <c r="B1374" t="s">
        <v>3456</v>
      </c>
      <c r="C1374" t="s">
        <v>3327</v>
      </c>
      <c r="D1374">
        <v>-107</v>
      </c>
      <c r="F1374">
        <v>56.69</v>
      </c>
      <c r="G1374" t="s">
        <v>3327</v>
      </c>
    </row>
    <row r="1375" spans="1:7">
      <c r="A1375">
        <v>1337</v>
      </c>
      <c r="B1375" t="s">
        <v>3456</v>
      </c>
      <c r="C1375" t="s">
        <v>3327</v>
      </c>
      <c r="D1375">
        <v>-108</v>
      </c>
      <c r="F1375">
        <v>41.15</v>
      </c>
      <c r="G1375" t="s">
        <v>3327</v>
      </c>
    </row>
    <row r="1376" spans="1:7">
      <c r="A1376">
        <v>1338</v>
      </c>
      <c r="B1376" t="s">
        <v>3456</v>
      </c>
      <c r="C1376" t="s">
        <v>3327</v>
      </c>
      <c r="D1376">
        <v>-109</v>
      </c>
      <c r="F1376">
        <v>41.15</v>
      </c>
      <c r="G1376" t="s">
        <v>3327</v>
      </c>
    </row>
    <row r="1377" spans="1:7">
      <c r="A1377">
        <v>1339</v>
      </c>
      <c r="B1377" t="s">
        <v>3456</v>
      </c>
      <c r="C1377" t="s">
        <v>3327</v>
      </c>
      <c r="D1377">
        <v>-110</v>
      </c>
      <c r="F1377">
        <v>56.69</v>
      </c>
      <c r="G1377" t="s">
        <v>3327</v>
      </c>
    </row>
    <row r="1378" spans="1:7">
      <c r="A1378">
        <v>1340</v>
      </c>
      <c r="B1378" t="s">
        <v>3456</v>
      </c>
      <c r="C1378">
        <v>1</v>
      </c>
      <c r="D1378">
        <v>101</v>
      </c>
      <c r="F1378">
        <v>192.38</v>
      </c>
      <c r="G1378" t="s">
        <v>3403</v>
      </c>
    </row>
    <row r="1379" spans="1:7">
      <c r="A1379">
        <v>1341</v>
      </c>
      <c r="B1379" t="s">
        <v>3456</v>
      </c>
      <c r="C1379">
        <v>1</v>
      </c>
      <c r="D1379">
        <v>102</v>
      </c>
      <c r="F1379">
        <v>167.95</v>
      </c>
      <c r="G1379" t="s">
        <v>3403</v>
      </c>
    </row>
    <row r="1380" spans="1:7">
      <c r="A1380">
        <v>1342</v>
      </c>
      <c r="B1380" t="s">
        <v>3456</v>
      </c>
      <c r="C1380" t="s">
        <v>3327</v>
      </c>
      <c r="D1380">
        <v>-111</v>
      </c>
      <c r="F1380">
        <v>23.66</v>
      </c>
      <c r="G1380" t="s">
        <v>3327</v>
      </c>
    </row>
    <row r="1381" spans="1:7">
      <c r="A1381">
        <v>1343</v>
      </c>
      <c r="B1381" t="s">
        <v>3456</v>
      </c>
      <c r="C1381" t="s">
        <v>3327</v>
      </c>
      <c r="D1381">
        <v>-112</v>
      </c>
      <c r="F1381">
        <v>23.66</v>
      </c>
      <c r="G1381" t="s">
        <v>3327</v>
      </c>
    </row>
    <row r="1382" spans="1:7">
      <c r="A1382">
        <v>1344</v>
      </c>
      <c r="B1382" t="s">
        <v>3456</v>
      </c>
      <c r="C1382" t="s">
        <v>3327</v>
      </c>
      <c r="D1382">
        <v>-113</v>
      </c>
      <c r="F1382">
        <v>49.66</v>
      </c>
      <c r="G1382" t="s">
        <v>3327</v>
      </c>
    </row>
    <row r="1383" spans="1:7">
      <c r="A1383">
        <v>1345</v>
      </c>
      <c r="B1383" t="s">
        <v>3456</v>
      </c>
      <c r="C1383" t="s">
        <v>3327</v>
      </c>
      <c r="D1383">
        <v>-114</v>
      </c>
      <c r="F1383">
        <v>48.03</v>
      </c>
      <c r="G1383" t="s">
        <v>3327</v>
      </c>
    </row>
    <row r="1384" spans="1:7">
      <c r="A1384">
        <v>1346</v>
      </c>
      <c r="B1384" t="s">
        <v>3456</v>
      </c>
      <c r="C1384" t="s">
        <v>3327</v>
      </c>
      <c r="D1384">
        <v>-115</v>
      </c>
      <c r="F1384">
        <v>22.82</v>
      </c>
      <c r="G1384" t="s">
        <v>3327</v>
      </c>
    </row>
    <row r="1385" spans="1:7">
      <c r="A1385">
        <v>1347</v>
      </c>
      <c r="B1385" t="s">
        <v>3456</v>
      </c>
      <c r="C1385" t="s">
        <v>3327</v>
      </c>
      <c r="D1385">
        <v>-116</v>
      </c>
      <c r="F1385">
        <v>28.01</v>
      </c>
      <c r="G1385" t="s">
        <v>3327</v>
      </c>
    </row>
    <row r="1386" spans="1:7">
      <c r="A1386">
        <v>1348</v>
      </c>
      <c r="B1386" t="s">
        <v>3456</v>
      </c>
      <c r="C1386" t="s">
        <v>3327</v>
      </c>
      <c r="D1386">
        <v>-117</v>
      </c>
      <c r="F1386">
        <v>27.65</v>
      </c>
      <c r="G1386" t="s">
        <v>3327</v>
      </c>
    </row>
    <row r="1387" spans="1:7">
      <c r="A1387">
        <v>1349</v>
      </c>
      <c r="B1387" t="s">
        <v>3456</v>
      </c>
      <c r="C1387" t="s">
        <v>3327</v>
      </c>
      <c r="D1387">
        <v>-118</v>
      </c>
      <c r="F1387">
        <v>19.170000000000002</v>
      </c>
      <c r="G1387" t="s">
        <v>3327</v>
      </c>
    </row>
    <row r="1388" spans="1:7">
      <c r="A1388">
        <v>1350</v>
      </c>
      <c r="B1388" t="s">
        <v>3456</v>
      </c>
      <c r="C1388" t="s">
        <v>3327</v>
      </c>
      <c r="D1388">
        <v>-119</v>
      </c>
      <c r="F1388">
        <v>19.170000000000002</v>
      </c>
      <c r="G1388" t="s">
        <v>3327</v>
      </c>
    </row>
    <row r="1389" spans="1:7">
      <c r="A1389">
        <v>1351</v>
      </c>
      <c r="B1389" t="s">
        <v>3456</v>
      </c>
      <c r="C1389" t="s">
        <v>3327</v>
      </c>
      <c r="D1389">
        <v>-120</v>
      </c>
      <c r="F1389">
        <v>27.65</v>
      </c>
      <c r="G1389" t="s">
        <v>3327</v>
      </c>
    </row>
    <row r="1390" spans="1:7">
      <c r="A1390">
        <v>1352</v>
      </c>
      <c r="B1390" t="s">
        <v>3456</v>
      </c>
      <c r="C1390">
        <v>1</v>
      </c>
      <c r="D1390">
        <v>201</v>
      </c>
      <c r="F1390">
        <v>192.4</v>
      </c>
      <c r="G1390" t="s">
        <v>3403</v>
      </c>
    </row>
    <row r="1391" spans="1:7">
      <c r="A1391">
        <v>1353</v>
      </c>
      <c r="B1391" t="s">
        <v>3456</v>
      </c>
      <c r="C1391">
        <v>1</v>
      </c>
      <c r="D1391">
        <v>301</v>
      </c>
      <c r="F1391">
        <v>192.4</v>
      </c>
      <c r="G1391" t="s">
        <v>3403</v>
      </c>
    </row>
    <row r="1392" spans="1:7">
      <c r="A1392">
        <v>1354</v>
      </c>
      <c r="B1392" t="s">
        <v>3456</v>
      </c>
      <c r="C1392">
        <v>1</v>
      </c>
      <c r="D1392">
        <v>302</v>
      </c>
      <c r="F1392">
        <v>184.35</v>
      </c>
      <c r="G1392" t="s">
        <v>3403</v>
      </c>
    </row>
    <row r="1393" spans="1:7">
      <c r="A1393">
        <v>1355</v>
      </c>
      <c r="B1393" t="s">
        <v>3456</v>
      </c>
      <c r="C1393">
        <v>1</v>
      </c>
      <c r="D1393">
        <v>401</v>
      </c>
      <c r="F1393">
        <v>192.4</v>
      </c>
      <c r="G1393" t="s">
        <v>3403</v>
      </c>
    </row>
    <row r="1394" spans="1:7">
      <c r="A1394">
        <v>1356</v>
      </c>
      <c r="B1394" t="s">
        <v>3456</v>
      </c>
      <c r="C1394" t="s">
        <v>3327</v>
      </c>
      <c r="D1394">
        <v>-201</v>
      </c>
      <c r="F1394">
        <v>18.350000000000001</v>
      </c>
      <c r="G1394" t="s">
        <v>3327</v>
      </c>
    </row>
    <row r="1395" spans="1:7">
      <c r="A1395">
        <v>1357</v>
      </c>
      <c r="B1395" t="s">
        <v>3456</v>
      </c>
      <c r="C1395" t="s">
        <v>3327</v>
      </c>
      <c r="D1395">
        <v>-202</v>
      </c>
      <c r="F1395">
        <v>16.36</v>
      </c>
      <c r="G1395" t="s">
        <v>3327</v>
      </c>
    </row>
    <row r="1396" spans="1:7">
      <c r="A1396">
        <v>1358</v>
      </c>
      <c r="B1396" t="s">
        <v>3456</v>
      </c>
      <c r="C1396" t="s">
        <v>3327</v>
      </c>
      <c r="D1396">
        <v>-203</v>
      </c>
      <c r="F1396">
        <v>12.41</v>
      </c>
      <c r="G1396" t="s">
        <v>3327</v>
      </c>
    </row>
    <row r="1397" spans="1:7">
      <c r="A1397">
        <v>1359</v>
      </c>
      <c r="B1397" t="s">
        <v>3456</v>
      </c>
      <c r="C1397" t="s">
        <v>3327</v>
      </c>
      <c r="D1397">
        <v>-204</v>
      </c>
      <c r="F1397">
        <v>17.04</v>
      </c>
      <c r="G1397" t="s">
        <v>3327</v>
      </c>
    </row>
    <row r="1398" spans="1:7">
      <c r="A1398">
        <v>1360</v>
      </c>
      <c r="B1398" t="s">
        <v>3456</v>
      </c>
      <c r="C1398">
        <v>2</v>
      </c>
      <c r="D1398">
        <v>101</v>
      </c>
      <c r="F1398">
        <v>167.95</v>
      </c>
      <c r="G1398" t="s">
        <v>3403</v>
      </c>
    </row>
    <row r="1399" spans="1:7">
      <c r="A1399">
        <v>1361</v>
      </c>
      <c r="B1399" t="s">
        <v>3456</v>
      </c>
      <c r="C1399">
        <v>2</v>
      </c>
      <c r="D1399">
        <v>102</v>
      </c>
      <c r="F1399">
        <v>184.81</v>
      </c>
      <c r="G1399" t="s">
        <v>3403</v>
      </c>
    </row>
    <row r="1400" spans="1:7">
      <c r="A1400">
        <v>1362</v>
      </c>
      <c r="B1400" t="s">
        <v>3457</v>
      </c>
      <c r="C1400" t="s">
        <v>3327</v>
      </c>
      <c r="D1400">
        <v>-101</v>
      </c>
      <c r="F1400">
        <v>27.29</v>
      </c>
      <c r="G1400" t="s">
        <v>3327</v>
      </c>
    </row>
    <row r="1401" spans="1:7">
      <c r="A1401">
        <v>1363</v>
      </c>
      <c r="B1401" t="s">
        <v>3457</v>
      </c>
      <c r="C1401" t="s">
        <v>3327</v>
      </c>
      <c r="D1401">
        <v>-102</v>
      </c>
      <c r="F1401">
        <v>22.38</v>
      </c>
      <c r="G1401" t="s">
        <v>3327</v>
      </c>
    </row>
    <row r="1402" spans="1:7">
      <c r="A1402">
        <v>1364</v>
      </c>
      <c r="B1402" t="s">
        <v>3457</v>
      </c>
      <c r="C1402" t="s">
        <v>3327</v>
      </c>
      <c r="D1402">
        <v>-103</v>
      </c>
      <c r="F1402">
        <v>47.06</v>
      </c>
      <c r="G1402" t="s">
        <v>3327</v>
      </c>
    </row>
    <row r="1403" spans="1:7">
      <c r="A1403">
        <v>1365</v>
      </c>
      <c r="B1403" t="s">
        <v>3457</v>
      </c>
      <c r="C1403" t="s">
        <v>3327</v>
      </c>
      <c r="D1403">
        <v>-104</v>
      </c>
      <c r="F1403">
        <v>48.7</v>
      </c>
      <c r="G1403" t="s">
        <v>3327</v>
      </c>
    </row>
    <row r="1404" spans="1:7">
      <c r="A1404">
        <v>1366</v>
      </c>
      <c r="B1404" t="s">
        <v>3457</v>
      </c>
      <c r="C1404" t="s">
        <v>3327</v>
      </c>
      <c r="D1404">
        <v>-105</v>
      </c>
      <c r="F1404">
        <v>23.2</v>
      </c>
      <c r="G1404" t="s">
        <v>3327</v>
      </c>
    </row>
    <row r="1405" spans="1:7">
      <c r="A1405">
        <v>1367</v>
      </c>
      <c r="B1405" t="s">
        <v>3457</v>
      </c>
      <c r="C1405" t="s">
        <v>3327</v>
      </c>
      <c r="D1405">
        <v>-106</v>
      </c>
      <c r="F1405">
        <v>23.2</v>
      </c>
      <c r="G1405" t="s">
        <v>3327</v>
      </c>
    </row>
    <row r="1406" spans="1:7">
      <c r="A1406">
        <v>1368</v>
      </c>
      <c r="B1406" t="s">
        <v>3457</v>
      </c>
      <c r="C1406" t="s">
        <v>3327</v>
      </c>
      <c r="D1406">
        <v>-107</v>
      </c>
      <c r="F1406">
        <v>48.7</v>
      </c>
      <c r="G1406" t="s">
        <v>3327</v>
      </c>
    </row>
    <row r="1407" spans="1:7">
      <c r="A1407">
        <v>1369</v>
      </c>
      <c r="B1407" t="s">
        <v>3457</v>
      </c>
      <c r="C1407" t="s">
        <v>3327</v>
      </c>
      <c r="D1407">
        <v>-108</v>
      </c>
      <c r="F1407">
        <v>47.1</v>
      </c>
      <c r="G1407" t="s">
        <v>3327</v>
      </c>
    </row>
    <row r="1408" spans="1:7">
      <c r="A1408">
        <v>1370</v>
      </c>
      <c r="B1408" t="s">
        <v>3457</v>
      </c>
      <c r="C1408" t="s">
        <v>3327</v>
      </c>
      <c r="D1408">
        <v>-109</v>
      </c>
      <c r="F1408">
        <v>27.52</v>
      </c>
      <c r="G1408" t="s">
        <v>3327</v>
      </c>
    </row>
    <row r="1409" spans="1:7">
      <c r="A1409">
        <v>1371</v>
      </c>
      <c r="B1409" t="s">
        <v>3457</v>
      </c>
      <c r="C1409" t="s">
        <v>3327</v>
      </c>
      <c r="D1409">
        <v>-110</v>
      </c>
      <c r="F1409">
        <v>15.25</v>
      </c>
      <c r="G1409" t="s">
        <v>3327</v>
      </c>
    </row>
    <row r="1410" spans="1:7">
      <c r="A1410">
        <v>1372</v>
      </c>
      <c r="B1410" t="s">
        <v>3457</v>
      </c>
      <c r="C1410">
        <v>1</v>
      </c>
      <c r="D1410">
        <v>101</v>
      </c>
      <c r="F1410">
        <v>184.92</v>
      </c>
      <c r="G1410" t="s">
        <v>3403</v>
      </c>
    </row>
    <row r="1411" spans="1:7">
      <c r="A1411">
        <v>1373</v>
      </c>
      <c r="B1411" t="s">
        <v>3457</v>
      </c>
      <c r="C1411">
        <v>1</v>
      </c>
      <c r="D1411">
        <v>102</v>
      </c>
      <c r="F1411">
        <v>168.05</v>
      </c>
      <c r="G1411" t="s">
        <v>3403</v>
      </c>
    </row>
    <row r="1412" spans="1:7">
      <c r="A1412">
        <v>1374</v>
      </c>
      <c r="B1412" t="s">
        <v>3457</v>
      </c>
      <c r="C1412">
        <v>1</v>
      </c>
      <c r="D1412">
        <v>201</v>
      </c>
      <c r="F1412">
        <v>184.96</v>
      </c>
      <c r="G1412" t="s">
        <v>3403</v>
      </c>
    </row>
    <row r="1413" spans="1:7">
      <c r="A1413">
        <v>1375</v>
      </c>
      <c r="B1413" t="s">
        <v>3457</v>
      </c>
      <c r="C1413">
        <v>1</v>
      </c>
      <c r="D1413">
        <v>202</v>
      </c>
      <c r="F1413">
        <v>184.96</v>
      </c>
      <c r="G1413" t="s">
        <v>3403</v>
      </c>
    </row>
    <row r="1414" spans="1:7">
      <c r="A1414">
        <v>1376</v>
      </c>
      <c r="B1414" t="s">
        <v>3457</v>
      </c>
      <c r="C1414">
        <v>1</v>
      </c>
      <c r="D1414">
        <v>302</v>
      </c>
      <c r="F1414">
        <v>184.96</v>
      </c>
      <c r="G1414" t="s">
        <v>3403</v>
      </c>
    </row>
    <row r="1415" spans="1:7">
      <c r="A1415">
        <v>1377</v>
      </c>
      <c r="B1415" t="s">
        <v>3457</v>
      </c>
      <c r="C1415">
        <v>1</v>
      </c>
      <c r="D1415">
        <v>401</v>
      </c>
      <c r="F1415">
        <v>184.96</v>
      </c>
      <c r="G1415" t="s">
        <v>3403</v>
      </c>
    </row>
    <row r="1416" spans="1:7">
      <c r="A1416">
        <v>1378</v>
      </c>
      <c r="B1416" t="s">
        <v>3457</v>
      </c>
      <c r="C1416">
        <v>1</v>
      </c>
      <c r="D1416">
        <v>402</v>
      </c>
      <c r="F1416">
        <v>184.96</v>
      </c>
      <c r="G1416" t="s">
        <v>3403</v>
      </c>
    </row>
    <row r="1417" spans="1:7">
      <c r="A1417">
        <v>1379</v>
      </c>
      <c r="B1417" t="s">
        <v>3457</v>
      </c>
      <c r="C1417" t="s">
        <v>3327</v>
      </c>
      <c r="D1417">
        <v>-201</v>
      </c>
      <c r="F1417">
        <v>16.940000000000001</v>
      </c>
      <c r="G1417" t="s">
        <v>3327</v>
      </c>
    </row>
    <row r="1418" spans="1:7">
      <c r="A1418">
        <v>1380</v>
      </c>
      <c r="B1418" t="s">
        <v>3457</v>
      </c>
      <c r="C1418" t="s">
        <v>3327</v>
      </c>
      <c r="D1418">
        <v>-202</v>
      </c>
      <c r="F1418">
        <v>26.37</v>
      </c>
      <c r="G1418" t="s">
        <v>3327</v>
      </c>
    </row>
    <row r="1419" spans="1:7">
      <c r="A1419">
        <v>1381</v>
      </c>
      <c r="B1419" t="s">
        <v>3457</v>
      </c>
      <c r="C1419" t="s">
        <v>3327</v>
      </c>
      <c r="D1419">
        <v>-203</v>
      </c>
      <c r="F1419">
        <v>19.690000000000001</v>
      </c>
      <c r="G1419" t="s">
        <v>3327</v>
      </c>
    </row>
    <row r="1420" spans="1:7">
      <c r="A1420">
        <v>1382</v>
      </c>
      <c r="B1420" t="s">
        <v>3457</v>
      </c>
      <c r="C1420" t="s">
        <v>3327</v>
      </c>
      <c r="D1420">
        <v>-204</v>
      </c>
      <c r="F1420">
        <v>19.690000000000001</v>
      </c>
      <c r="G1420" t="s">
        <v>3327</v>
      </c>
    </row>
    <row r="1421" spans="1:7">
      <c r="A1421">
        <v>1383</v>
      </c>
      <c r="B1421" t="s">
        <v>3457</v>
      </c>
      <c r="C1421" t="s">
        <v>3327</v>
      </c>
      <c r="D1421">
        <v>-205</v>
      </c>
      <c r="F1421">
        <v>16.440000000000001</v>
      </c>
      <c r="G1421" t="s">
        <v>3327</v>
      </c>
    </row>
    <row r="1422" spans="1:7">
      <c r="A1422">
        <v>1384</v>
      </c>
      <c r="B1422" t="s">
        <v>3458</v>
      </c>
      <c r="C1422" t="s">
        <v>3327</v>
      </c>
      <c r="D1422">
        <v>-101</v>
      </c>
      <c r="F1422">
        <v>30.13</v>
      </c>
      <c r="G1422" t="s">
        <v>3327</v>
      </c>
    </row>
    <row r="1423" spans="1:7">
      <c r="A1423">
        <v>1385</v>
      </c>
      <c r="B1423" t="s">
        <v>3458</v>
      </c>
      <c r="C1423" t="s">
        <v>3327</v>
      </c>
      <c r="D1423">
        <v>-102</v>
      </c>
      <c r="F1423">
        <v>28.44</v>
      </c>
      <c r="G1423" t="s">
        <v>3327</v>
      </c>
    </row>
    <row r="1424" spans="1:7">
      <c r="A1424">
        <v>1386</v>
      </c>
      <c r="B1424" t="s">
        <v>3458</v>
      </c>
      <c r="C1424" t="s">
        <v>3327</v>
      </c>
      <c r="D1424">
        <v>-106</v>
      </c>
      <c r="F1424">
        <v>23.11</v>
      </c>
      <c r="G1424" t="s">
        <v>3327</v>
      </c>
    </row>
    <row r="1425" spans="1:7">
      <c r="A1425">
        <v>1387</v>
      </c>
      <c r="B1425" t="s">
        <v>3458</v>
      </c>
      <c r="C1425" t="s">
        <v>3327</v>
      </c>
      <c r="D1425">
        <v>-107</v>
      </c>
      <c r="F1425">
        <v>52.52</v>
      </c>
      <c r="G1425" t="s">
        <v>3327</v>
      </c>
    </row>
    <row r="1426" spans="1:7">
      <c r="A1426">
        <v>1388</v>
      </c>
      <c r="B1426" t="s">
        <v>3458</v>
      </c>
      <c r="C1426" t="s">
        <v>3327</v>
      </c>
      <c r="D1426">
        <v>-108</v>
      </c>
      <c r="F1426">
        <v>45.47</v>
      </c>
      <c r="G1426" t="s">
        <v>3327</v>
      </c>
    </row>
    <row r="1427" spans="1:7">
      <c r="A1427">
        <v>1389</v>
      </c>
      <c r="B1427" t="s">
        <v>3458</v>
      </c>
      <c r="C1427" t="s">
        <v>3327</v>
      </c>
      <c r="D1427">
        <v>-109</v>
      </c>
      <c r="F1427">
        <v>15.71</v>
      </c>
      <c r="G1427" t="s">
        <v>3327</v>
      </c>
    </row>
    <row r="1428" spans="1:7">
      <c r="A1428">
        <v>1390</v>
      </c>
      <c r="B1428" t="s">
        <v>3458</v>
      </c>
      <c r="C1428" t="s">
        <v>3327</v>
      </c>
      <c r="D1428">
        <v>-110</v>
      </c>
      <c r="F1428">
        <v>30.31</v>
      </c>
      <c r="G1428" t="s">
        <v>3327</v>
      </c>
    </row>
    <row r="1429" spans="1:7">
      <c r="A1429">
        <v>1391</v>
      </c>
      <c r="B1429" t="s">
        <v>3458</v>
      </c>
      <c r="C1429">
        <v>1</v>
      </c>
      <c r="D1429">
        <v>102</v>
      </c>
      <c r="F1429">
        <v>192.52</v>
      </c>
      <c r="G1429" t="s">
        <v>3403</v>
      </c>
    </row>
    <row r="1430" spans="1:7">
      <c r="A1430">
        <v>1392</v>
      </c>
      <c r="B1430" t="s">
        <v>3458</v>
      </c>
      <c r="C1430">
        <v>1</v>
      </c>
      <c r="D1430">
        <v>301</v>
      </c>
      <c r="F1430">
        <v>192.54</v>
      </c>
      <c r="G1430" t="s">
        <v>3403</v>
      </c>
    </row>
    <row r="1431" spans="1:7">
      <c r="A1431">
        <v>1393</v>
      </c>
      <c r="B1431" t="s">
        <v>3458</v>
      </c>
      <c r="C1431">
        <v>1</v>
      </c>
      <c r="D1431">
        <v>401</v>
      </c>
      <c r="F1431">
        <v>192.54</v>
      </c>
      <c r="G1431" t="s">
        <v>3403</v>
      </c>
    </row>
    <row r="1432" spans="1:7">
      <c r="A1432">
        <v>1394</v>
      </c>
      <c r="B1432" t="s">
        <v>3458</v>
      </c>
      <c r="C1432" t="s">
        <v>3327</v>
      </c>
      <c r="D1432">
        <v>-201</v>
      </c>
      <c r="F1432">
        <v>15.67</v>
      </c>
      <c r="G1432" t="s">
        <v>3327</v>
      </c>
    </row>
    <row r="1433" spans="1:7">
      <c r="A1433">
        <v>1395</v>
      </c>
      <c r="B1433" t="s">
        <v>3458</v>
      </c>
      <c r="C1433" t="s">
        <v>3327</v>
      </c>
      <c r="D1433">
        <v>-203</v>
      </c>
      <c r="F1433">
        <v>20.13</v>
      </c>
      <c r="G1433" t="s">
        <v>3327</v>
      </c>
    </row>
    <row r="1434" spans="1:7">
      <c r="A1434">
        <v>1396</v>
      </c>
      <c r="B1434" t="s">
        <v>3459</v>
      </c>
      <c r="C1434" t="s">
        <v>3327</v>
      </c>
      <c r="D1434">
        <v>-101</v>
      </c>
      <c r="F1434">
        <v>30.96</v>
      </c>
      <c r="G1434" t="s">
        <v>3327</v>
      </c>
    </row>
    <row r="1435" spans="1:7">
      <c r="A1435">
        <v>1397</v>
      </c>
      <c r="B1435" t="s">
        <v>3459</v>
      </c>
      <c r="C1435" t="s">
        <v>3327</v>
      </c>
      <c r="D1435">
        <v>-102</v>
      </c>
      <c r="F1435">
        <v>16.260000000000002</v>
      </c>
      <c r="G1435" t="s">
        <v>3327</v>
      </c>
    </row>
    <row r="1436" spans="1:7">
      <c r="A1436">
        <v>1398</v>
      </c>
      <c r="B1436" t="s">
        <v>3459</v>
      </c>
      <c r="C1436" t="s">
        <v>3327</v>
      </c>
      <c r="D1436">
        <v>-103</v>
      </c>
      <c r="F1436">
        <v>46.44</v>
      </c>
      <c r="G1436" t="s">
        <v>3327</v>
      </c>
    </row>
    <row r="1437" spans="1:7">
      <c r="A1437">
        <v>1399</v>
      </c>
      <c r="B1437" t="s">
        <v>3459</v>
      </c>
      <c r="C1437" t="s">
        <v>3327</v>
      </c>
      <c r="D1437">
        <v>-104</v>
      </c>
      <c r="F1437">
        <v>53.65</v>
      </c>
      <c r="G1437" t="s">
        <v>3327</v>
      </c>
    </row>
    <row r="1438" spans="1:7">
      <c r="A1438">
        <v>1400</v>
      </c>
      <c r="B1438" t="s">
        <v>3459</v>
      </c>
      <c r="C1438" t="s">
        <v>3327</v>
      </c>
      <c r="D1438">
        <v>-105</v>
      </c>
      <c r="F1438">
        <v>23.61</v>
      </c>
      <c r="G1438" t="s">
        <v>3327</v>
      </c>
    </row>
    <row r="1439" spans="1:7">
      <c r="A1439">
        <v>1401</v>
      </c>
      <c r="B1439" t="s">
        <v>3459</v>
      </c>
      <c r="C1439" t="s">
        <v>3327</v>
      </c>
      <c r="D1439">
        <v>-106</v>
      </c>
      <c r="F1439">
        <v>23.61</v>
      </c>
      <c r="G1439" t="s">
        <v>3327</v>
      </c>
    </row>
    <row r="1440" spans="1:7">
      <c r="A1440">
        <v>1402</v>
      </c>
      <c r="B1440" t="s">
        <v>3459</v>
      </c>
      <c r="C1440" t="s">
        <v>3327</v>
      </c>
      <c r="D1440">
        <v>-107</v>
      </c>
      <c r="F1440">
        <v>56.57</v>
      </c>
      <c r="G1440" t="s">
        <v>3327</v>
      </c>
    </row>
    <row r="1441" spans="1:7">
      <c r="A1441">
        <v>1403</v>
      </c>
      <c r="B1441" t="s">
        <v>3459</v>
      </c>
      <c r="C1441" t="s">
        <v>3327</v>
      </c>
      <c r="D1441">
        <v>-108</v>
      </c>
      <c r="F1441">
        <v>41.37</v>
      </c>
      <c r="G1441" t="s">
        <v>3327</v>
      </c>
    </row>
    <row r="1442" spans="1:7">
      <c r="A1442">
        <v>1404</v>
      </c>
      <c r="B1442" t="s">
        <v>3459</v>
      </c>
      <c r="C1442" t="s">
        <v>3327</v>
      </c>
      <c r="D1442">
        <v>-109</v>
      </c>
      <c r="F1442">
        <v>41.37</v>
      </c>
      <c r="G1442" t="s">
        <v>3327</v>
      </c>
    </row>
    <row r="1443" spans="1:7">
      <c r="A1443">
        <v>1405</v>
      </c>
      <c r="B1443" t="s">
        <v>3459</v>
      </c>
      <c r="C1443" t="s">
        <v>3327</v>
      </c>
      <c r="D1443">
        <v>-110</v>
      </c>
      <c r="F1443">
        <v>56.57</v>
      </c>
      <c r="G1443" t="s">
        <v>3327</v>
      </c>
    </row>
    <row r="1444" spans="1:7">
      <c r="A1444">
        <v>1406</v>
      </c>
      <c r="B1444" t="s">
        <v>3459</v>
      </c>
      <c r="C1444">
        <v>1</v>
      </c>
      <c r="D1444">
        <v>102</v>
      </c>
      <c r="F1444">
        <v>168.04</v>
      </c>
      <c r="G1444" t="s">
        <v>3403</v>
      </c>
    </row>
    <row r="1445" spans="1:7">
      <c r="A1445">
        <v>1407</v>
      </c>
      <c r="B1445" t="s">
        <v>3459</v>
      </c>
      <c r="C1445" t="s">
        <v>3327</v>
      </c>
      <c r="D1445">
        <v>-111</v>
      </c>
      <c r="F1445">
        <v>23.61</v>
      </c>
      <c r="G1445" t="s">
        <v>3327</v>
      </c>
    </row>
    <row r="1446" spans="1:7">
      <c r="A1446">
        <v>1408</v>
      </c>
      <c r="B1446" t="s">
        <v>3459</v>
      </c>
      <c r="C1446" t="s">
        <v>3327</v>
      </c>
      <c r="D1446">
        <v>-112</v>
      </c>
      <c r="F1446">
        <v>23.61</v>
      </c>
      <c r="G1446" t="s">
        <v>3327</v>
      </c>
    </row>
    <row r="1447" spans="1:7">
      <c r="A1447">
        <v>1409</v>
      </c>
      <c r="B1447" t="s">
        <v>3459</v>
      </c>
      <c r="C1447" t="s">
        <v>3327</v>
      </c>
      <c r="D1447">
        <v>-113</v>
      </c>
      <c r="F1447">
        <v>56.57</v>
      </c>
      <c r="G1447" t="s">
        <v>3327</v>
      </c>
    </row>
    <row r="1448" spans="1:7">
      <c r="A1448">
        <v>1410</v>
      </c>
      <c r="B1448" t="s">
        <v>3459</v>
      </c>
      <c r="C1448" t="s">
        <v>3327</v>
      </c>
      <c r="D1448">
        <v>-114</v>
      </c>
      <c r="F1448">
        <v>41.06</v>
      </c>
      <c r="G1448" t="s">
        <v>3327</v>
      </c>
    </row>
    <row r="1449" spans="1:7">
      <c r="A1449">
        <v>1411</v>
      </c>
      <c r="B1449" t="s">
        <v>3459</v>
      </c>
      <c r="C1449" t="s">
        <v>3327</v>
      </c>
      <c r="D1449">
        <v>-115</v>
      </c>
      <c r="F1449">
        <v>41.06</v>
      </c>
      <c r="G1449" t="s">
        <v>3327</v>
      </c>
    </row>
    <row r="1450" spans="1:7">
      <c r="A1450">
        <v>1412</v>
      </c>
      <c r="B1450" t="s">
        <v>3459</v>
      </c>
      <c r="C1450" t="s">
        <v>3327</v>
      </c>
      <c r="D1450">
        <v>-116</v>
      </c>
      <c r="F1450">
        <v>56.57</v>
      </c>
      <c r="G1450" t="s">
        <v>3327</v>
      </c>
    </row>
    <row r="1451" spans="1:7">
      <c r="A1451">
        <v>1413</v>
      </c>
      <c r="B1451" t="s">
        <v>3459</v>
      </c>
      <c r="C1451" t="s">
        <v>3327</v>
      </c>
      <c r="D1451">
        <v>-117</v>
      </c>
      <c r="F1451">
        <v>23.61</v>
      </c>
      <c r="G1451" t="s">
        <v>3327</v>
      </c>
    </row>
    <row r="1452" spans="1:7">
      <c r="A1452">
        <v>1414</v>
      </c>
      <c r="B1452" t="s">
        <v>3459</v>
      </c>
      <c r="C1452" t="s">
        <v>3327</v>
      </c>
      <c r="D1452">
        <v>-118</v>
      </c>
      <c r="F1452">
        <v>23.61</v>
      </c>
      <c r="G1452" t="s">
        <v>3327</v>
      </c>
    </row>
    <row r="1453" spans="1:7">
      <c r="A1453">
        <v>1415</v>
      </c>
      <c r="B1453" t="s">
        <v>3459</v>
      </c>
      <c r="C1453" t="s">
        <v>3327</v>
      </c>
      <c r="D1453">
        <v>-119</v>
      </c>
      <c r="F1453">
        <v>49.55</v>
      </c>
      <c r="G1453" t="s">
        <v>3327</v>
      </c>
    </row>
    <row r="1454" spans="1:7">
      <c r="A1454">
        <v>1416</v>
      </c>
      <c r="B1454" t="s">
        <v>3459</v>
      </c>
      <c r="C1454" t="s">
        <v>3327</v>
      </c>
      <c r="D1454">
        <v>-120</v>
      </c>
      <c r="F1454">
        <v>47.92</v>
      </c>
      <c r="G1454" t="s">
        <v>3327</v>
      </c>
    </row>
    <row r="1455" spans="1:7">
      <c r="A1455">
        <v>1417</v>
      </c>
      <c r="B1455" t="s">
        <v>3459</v>
      </c>
      <c r="C1455" t="s">
        <v>3327</v>
      </c>
      <c r="D1455">
        <v>-121</v>
      </c>
      <c r="F1455">
        <v>22.78</v>
      </c>
      <c r="G1455" t="s">
        <v>3327</v>
      </c>
    </row>
    <row r="1456" spans="1:7">
      <c r="A1456">
        <v>1418</v>
      </c>
      <c r="B1456" t="s">
        <v>3459</v>
      </c>
      <c r="C1456" t="s">
        <v>3327</v>
      </c>
      <c r="D1456">
        <v>-122</v>
      </c>
      <c r="F1456">
        <v>27.95</v>
      </c>
      <c r="G1456" t="s">
        <v>3327</v>
      </c>
    </row>
    <row r="1457" spans="1:7">
      <c r="A1457">
        <v>1419</v>
      </c>
      <c r="B1457" t="s">
        <v>3459</v>
      </c>
      <c r="C1457" t="s">
        <v>3327</v>
      </c>
      <c r="D1457">
        <v>-123</v>
      </c>
      <c r="F1457">
        <v>27.59</v>
      </c>
      <c r="G1457" t="s">
        <v>3327</v>
      </c>
    </row>
    <row r="1458" spans="1:7">
      <c r="A1458">
        <v>1420</v>
      </c>
      <c r="B1458" t="s">
        <v>3459</v>
      </c>
      <c r="C1458" t="s">
        <v>3327</v>
      </c>
      <c r="D1458">
        <v>-124</v>
      </c>
      <c r="F1458">
        <v>19.13</v>
      </c>
      <c r="G1458" t="s">
        <v>3327</v>
      </c>
    </row>
    <row r="1459" spans="1:7">
      <c r="A1459">
        <v>1421</v>
      </c>
      <c r="B1459" t="s">
        <v>3459</v>
      </c>
      <c r="C1459" t="s">
        <v>3327</v>
      </c>
      <c r="D1459">
        <v>-125</v>
      </c>
      <c r="F1459">
        <v>19.13</v>
      </c>
      <c r="G1459" t="s">
        <v>3327</v>
      </c>
    </row>
    <row r="1460" spans="1:7">
      <c r="A1460">
        <v>1422</v>
      </c>
      <c r="B1460" t="s">
        <v>3459</v>
      </c>
      <c r="C1460" t="s">
        <v>3327</v>
      </c>
      <c r="D1460">
        <v>-126</v>
      </c>
      <c r="F1460">
        <v>27.77</v>
      </c>
      <c r="G1460" t="s">
        <v>3327</v>
      </c>
    </row>
    <row r="1461" spans="1:7">
      <c r="A1461">
        <v>1423</v>
      </c>
      <c r="B1461" t="s">
        <v>3459</v>
      </c>
      <c r="C1461" t="s">
        <v>3327</v>
      </c>
      <c r="D1461">
        <v>-127</v>
      </c>
      <c r="F1461">
        <v>27.59</v>
      </c>
      <c r="G1461" t="s">
        <v>3327</v>
      </c>
    </row>
    <row r="1462" spans="1:7">
      <c r="A1462">
        <v>1424</v>
      </c>
      <c r="B1462" t="s">
        <v>3459</v>
      </c>
      <c r="C1462" t="s">
        <v>3327</v>
      </c>
      <c r="D1462">
        <v>-128</v>
      </c>
      <c r="F1462">
        <v>19.77</v>
      </c>
      <c r="G1462" t="s">
        <v>3327</v>
      </c>
    </row>
    <row r="1463" spans="1:7">
      <c r="A1463">
        <v>1425</v>
      </c>
      <c r="B1463" t="s">
        <v>3459</v>
      </c>
      <c r="C1463" t="s">
        <v>3327</v>
      </c>
      <c r="D1463">
        <v>-129</v>
      </c>
      <c r="F1463">
        <v>19.77</v>
      </c>
      <c r="G1463" t="s">
        <v>3327</v>
      </c>
    </row>
    <row r="1464" spans="1:7">
      <c r="A1464">
        <v>1426</v>
      </c>
      <c r="B1464" t="s">
        <v>3459</v>
      </c>
      <c r="C1464" t="s">
        <v>3327</v>
      </c>
      <c r="D1464">
        <v>-130</v>
      </c>
      <c r="F1464">
        <v>27.59</v>
      </c>
      <c r="G1464" t="s">
        <v>3327</v>
      </c>
    </row>
    <row r="1465" spans="1:7">
      <c r="A1465">
        <v>1427</v>
      </c>
      <c r="B1465" t="s">
        <v>3459</v>
      </c>
      <c r="C1465" t="s">
        <v>3327</v>
      </c>
      <c r="D1465">
        <v>-201</v>
      </c>
      <c r="F1465">
        <v>19.2</v>
      </c>
      <c r="G1465" t="s">
        <v>3327</v>
      </c>
    </row>
    <row r="1466" spans="1:7">
      <c r="A1466">
        <v>1428</v>
      </c>
      <c r="B1466" t="s">
        <v>3459</v>
      </c>
      <c r="C1466" t="s">
        <v>3327</v>
      </c>
      <c r="D1466">
        <v>-202</v>
      </c>
      <c r="F1466">
        <v>16.329999999999998</v>
      </c>
      <c r="G1466" t="s">
        <v>3327</v>
      </c>
    </row>
    <row r="1467" spans="1:7">
      <c r="A1467">
        <v>1429</v>
      </c>
      <c r="B1467" t="s">
        <v>3459</v>
      </c>
      <c r="C1467" t="s">
        <v>3327</v>
      </c>
      <c r="D1467">
        <v>-203</v>
      </c>
      <c r="F1467">
        <v>12.38</v>
      </c>
      <c r="G1467" t="s">
        <v>3327</v>
      </c>
    </row>
    <row r="1468" spans="1:7">
      <c r="A1468">
        <v>1430</v>
      </c>
      <c r="B1468" t="s">
        <v>3459</v>
      </c>
      <c r="C1468" t="s">
        <v>3327</v>
      </c>
      <c r="D1468">
        <v>-204</v>
      </c>
      <c r="F1468">
        <v>16.329999999999998</v>
      </c>
      <c r="G1468" t="s">
        <v>3327</v>
      </c>
    </row>
    <row r="1469" spans="1:7">
      <c r="A1469">
        <v>1431</v>
      </c>
      <c r="B1469" t="s">
        <v>3459</v>
      </c>
      <c r="C1469" t="s">
        <v>3327</v>
      </c>
      <c r="D1469">
        <v>-205</v>
      </c>
      <c r="F1469">
        <v>12.38</v>
      </c>
      <c r="G1469" t="s">
        <v>3327</v>
      </c>
    </row>
    <row r="1470" spans="1:7">
      <c r="A1470">
        <v>1432</v>
      </c>
      <c r="B1470" t="s">
        <v>3459</v>
      </c>
      <c r="C1470" t="s">
        <v>3327</v>
      </c>
      <c r="D1470">
        <v>-206</v>
      </c>
      <c r="F1470">
        <v>17</v>
      </c>
      <c r="G1470" t="s">
        <v>3327</v>
      </c>
    </row>
    <row r="1471" spans="1:7">
      <c r="A1471">
        <v>1433</v>
      </c>
      <c r="B1471" t="s">
        <v>3459</v>
      </c>
      <c r="C1471">
        <v>2</v>
      </c>
      <c r="D1471">
        <v>101</v>
      </c>
      <c r="F1471">
        <v>168.04</v>
      </c>
      <c r="G1471" t="s">
        <v>3403</v>
      </c>
    </row>
    <row r="1472" spans="1:7">
      <c r="A1472">
        <v>1434</v>
      </c>
      <c r="B1472" t="s">
        <v>3459</v>
      </c>
      <c r="C1472">
        <v>2</v>
      </c>
      <c r="D1472">
        <v>102</v>
      </c>
      <c r="F1472">
        <v>184.41</v>
      </c>
      <c r="G1472" t="s">
        <v>3403</v>
      </c>
    </row>
    <row r="1473" spans="1:7">
      <c r="A1473">
        <v>1435</v>
      </c>
      <c r="B1473" t="s">
        <v>3459</v>
      </c>
      <c r="C1473">
        <v>2</v>
      </c>
      <c r="D1473">
        <v>301</v>
      </c>
      <c r="F1473">
        <v>184.45</v>
      </c>
      <c r="G1473" t="s">
        <v>3403</v>
      </c>
    </row>
    <row r="1474" spans="1:7">
      <c r="A1474">
        <v>1436</v>
      </c>
      <c r="B1474" t="s">
        <v>3459</v>
      </c>
      <c r="C1474">
        <v>2</v>
      </c>
      <c r="D1474">
        <v>302</v>
      </c>
      <c r="F1474">
        <v>184.45</v>
      </c>
      <c r="G1474" t="s">
        <v>3403</v>
      </c>
    </row>
    <row r="1475" spans="1:7">
      <c r="A1475">
        <v>1437</v>
      </c>
      <c r="B1475" t="s">
        <v>3459</v>
      </c>
      <c r="C1475">
        <v>2</v>
      </c>
      <c r="D1475">
        <v>401</v>
      </c>
      <c r="F1475">
        <v>184.45</v>
      </c>
      <c r="G1475" t="s">
        <v>3403</v>
      </c>
    </row>
    <row r="1476" spans="1:7">
      <c r="A1476">
        <v>1438</v>
      </c>
      <c r="B1476" t="s">
        <v>3459</v>
      </c>
      <c r="C1476">
        <v>2</v>
      </c>
      <c r="D1476">
        <v>402</v>
      </c>
      <c r="F1476">
        <v>184.45</v>
      </c>
      <c r="G1476" t="s">
        <v>3403</v>
      </c>
    </row>
    <row r="1477" spans="1:7">
      <c r="A1477">
        <v>1439</v>
      </c>
      <c r="B1477" t="s">
        <v>3459</v>
      </c>
      <c r="C1477">
        <v>3</v>
      </c>
      <c r="D1477">
        <v>101</v>
      </c>
      <c r="F1477">
        <v>168.04</v>
      </c>
      <c r="G1477" t="s">
        <v>3403</v>
      </c>
    </row>
    <row r="1478" spans="1:7">
      <c r="A1478">
        <v>1440</v>
      </c>
      <c r="B1478" t="s">
        <v>3459</v>
      </c>
      <c r="C1478">
        <v>3</v>
      </c>
      <c r="D1478">
        <v>102</v>
      </c>
      <c r="F1478">
        <v>184.91</v>
      </c>
      <c r="G1478" t="s">
        <v>3403</v>
      </c>
    </row>
    <row r="1479" spans="1:7">
      <c r="A1479">
        <v>1441</v>
      </c>
      <c r="B1479" t="s">
        <v>3459</v>
      </c>
      <c r="C1479">
        <v>3</v>
      </c>
      <c r="D1479">
        <v>402</v>
      </c>
      <c r="F1479">
        <v>184.95</v>
      </c>
      <c r="G1479" t="s">
        <v>3403</v>
      </c>
    </row>
    <row r="1480" spans="1:7">
      <c r="A1480">
        <v>1442</v>
      </c>
      <c r="B1480" t="s">
        <v>3460</v>
      </c>
      <c r="C1480" t="s">
        <v>3327</v>
      </c>
      <c r="D1480">
        <v>-101</v>
      </c>
      <c r="F1480">
        <v>30.98</v>
      </c>
      <c r="G1480" t="s">
        <v>3327</v>
      </c>
    </row>
    <row r="1481" spans="1:7">
      <c r="A1481">
        <v>1443</v>
      </c>
      <c r="B1481" t="s">
        <v>3460</v>
      </c>
      <c r="C1481" t="s">
        <v>3327</v>
      </c>
      <c r="D1481">
        <v>-102</v>
      </c>
      <c r="F1481">
        <v>16.059999999999999</v>
      </c>
      <c r="G1481" t="s">
        <v>3327</v>
      </c>
    </row>
    <row r="1482" spans="1:7">
      <c r="A1482">
        <v>1444</v>
      </c>
      <c r="B1482" t="s">
        <v>3460</v>
      </c>
      <c r="C1482" t="s">
        <v>3327</v>
      </c>
      <c r="D1482">
        <v>-103</v>
      </c>
      <c r="F1482">
        <v>46.48</v>
      </c>
      <c r="G1482" t="s">
        <v>3327</v>
      </c>
    </row>
    <row r="1483" spans="1:7">
      <c r="A1483">
        <v>1445</v>
      </c>
      <c r="B1483" t="s">
        <v>3460</v>
      </c>
      <c r="C1483" t="s">
        <v>3327</v>
      </c>
      <c r="D1483">
        <v>-104</v>
      </c>
      <c r="F1483">
        <v>53.69</v>
      </c>
      <c r="G1483" t="s">
        <v>3327</v>
      </c>
    </row>
    <row r="1484" spans="1:7">
      <c r="A1484">
        <v>1446</v>
      </c>
      <c r="B1484" t="s">
        <v>3460</v>
      </c>
      <c r="C1484" t="s">
        <v>3327</v>
      </c>
      <c r="D1484">
        <v>-105</v>
      </c>
      <c r="F1484">
        <v>23.63</v>
      </c>
      <c r="G1484" t="s">
        <v>3327</v>
      </c>
    </row>
    <row r="1485" spans="1:7">
      <c r="A1485">
        <v>1447</v>
      </c>
      <c r="B1485" t="s">
        <v>3460</v>
      </c>
      <c r="C1485" t="s">
        <v>3327</v>
      </c>
      <c r="D1485">
        <v>-106</v>
      </c>
      <c r="F1485">
        <v>23.66</v>
      </c>
      <c r="G1485" t="s">
        <v>3327</v>
      </c>
    </row>
    <row r="1486" spans="1:7">
      <c r="A1486">
        <v>1448</v>
      </c>
      <c r="B1486" t="s">
        <v>3460</v>
      </c>
      <c r="C1486" t="s">
        <v>3327</v>
      </c>
      <c r="D1486">
        <v>-107</v>
      </c>
      <c r="F1486">
        <v>56.65</v>
      </c>
      <c r="G1486" t="s">
        <v>3327</v>
      </c>
    </row>
    <row r="1487" spans="1:7">
      <c r="A1487">
        <v>1449</v>
      </c>
      <c r="B1487" t="s">
        <v>3460</v>
      </c>
      <c r="C1487" t="s">
        <v>3327</v>
      </c>
      <c r="D1487">
        <v>-108</v>
      </c>
      <c r="F1487">
        <v>41.09</v>
      </c>
      <c r="G1487" t="s">
        <v>3327</v>
      </c>
    </row>
    <row r="1488" spans="1:7">
      <c r="A1488">
        <v>1450</v>
      </c>
      <c r="B1488" t="s">
        <v>3460</v>
      </c>
      <c r="C1488" t="s">
        <v>3327</v>
      </c>
      <c r="D1488">
        <v>-109</v>
      </c>
      <c r="F1488">
        <v>41.09</v>
      </c>
      <c r="G1488" t="s">
        <v>3327</v>
      </c>
    </row>
    <row r="1489" spans="1:7">
      <c r="A1489">
        <v>1451</v>
      </c>
      <c r="B1489" t="s">
        <v>3460</v>
      </c>
      <c r="C1489" t="s">
        <v>3327</v>
      </c>
      <c r="D1489">
        <v>-110</v>
      </c>
      <c r="F1489">
        <v>56.65</v>
      </c>
      <c r="G1489" t="s">
        <v>3327</v>
      </c>
    </row>
    <row r="1490" spans="1:7">
      <c r="A1490">
        <v>1452</v>
      </c>
      <c r="B1490" t="s">
        <v>3460</v>
      </c>
      <c r="C1490">
        <v>1</v>
      </c>
      <c r="D1490">
        <v>101</v>
      </c>
      <c r="F1490">
        <v>192.5</v>
      </c>
      <c r="G1490" t="s">
        <v>3403</v>
      </c>
    </row>
    <row r="1491" spans="1:7">
      <c r="A1491">
        <v>1453</v>
      </c>
      <c r="B1491" t="s">
        <v>3460</v>
      </c>
      <c r="C1491">
        <v>1</v>
      </c>
      <c r="D1491">
        <v>102</v>
      </c>
      <c r="F1491">
        <v>161.81</v>
      </c>
      <c r="G1491" t="s">
        <v>3403</v>
      </c>
    </row>
    <row r="1492" spans="1:7">
      <c r="A1492">
        <v>1454</v>
      </c>
      <c r="B1492" t="s">
        <v>3460</v>
      </c>
      <c r="C1492" t="s">
        <v>3327</v>
      </c>
      <c r="D1492">
        <v>-111</v>
      </c>
      <c r="F1492">
        <v>23.66</v>
      </c>
      <c r="G1492" t="s">
        <v>3327</v>
      </c>
    </row>
    <row r="1493" spans="1:7">
      <c r="A1493">
        <v>1455</v>
      </c>
      <c r="B1493" t="s">
        <v>3460</v>
      </c>
      <c r="C1493" t="s">
        <v>3327</v>
      </c>
      <c r="D1493">
        <v>-112</v>
      </c>
      <c r="F1493">
        <v>23.63</v>
      </c>
      <c r="G1493" t="s">
        <v>3327</v>
      </c>
    </row>
    <row r="1494" spans="1:7">
      <c r="A1494">
        <v>1456</v>
      </c>
      <c r="B1494" t="s">
        <v>3460</v>
      </c>
      <c r="C1494" t="s">
        <v>3327</v>
      </c>
      <c r="D1494">
        <v>-113</v>
      </c>
      <c r="F1494">
        <v>49.59</v>
      </c>
      <c r="G1494" t="s">
        <v>3327</v>
      </c>
    </row>
    <row r="1495" spans="1:7">
      <c r="A1495">
        <v>1457</v>
      </c>
      <c r="B1495" t="s">
        <v>3460</v>
      </c>
      <c r="C1495" t="s">
        <v>3327</v>
      </c>
      <c r="D1495">
        <v>-114</v>
      </c>
      <c r="F1495">
        <v>47.96</v>
      </c>
      <c r="G1495" t="s">
        <v>3327</v>
      </c>
    </row>
    <row r="1496" spans="1:7">
      <c r="A1496">
        <v>1458</v>
      </c>
      <c r="B1496" t="s">
        <v>3460</v>
      </c>
      <c r="C1496" t="s">
        <v>3327</v>
      </c>
      <c r="D1496">
        <v>-115</v>
      </c>
      <c r="F1496">
        <v>22.62</v>
      </c>
      <c r="G1496" t="s">
        <v>3327</v>
      </c>
    </row>
    <row r="1497" spans="1:7">
      <c r="A1497">
        <v>1459</v>
      </c>
      <c r="B1497" t="s">
        <v>3460</v>
      </c>
      <c r="C1497" t="s">
        <v>3327</v>
      </c>
      <c r="D1497">
        <v>-116</v>
      </c>
      <c r="F1497">
        <v>27.97</v>
      </c>
      <c r="G1497" t="s">
        <v>3327</v>
      </c>
    </row>
    <row r="1498" spans="1:7">
      <c r="A1498">
        <v>1460</v>
      </c>
      <c r="B1498" t="s">
        <v>3460</v>
      </c>
      <c r="C1498" t="s">
        <v>3327</v>
      </c>
      <c r="D1498">
        <v>-117</v>
      </c>
      <c r="F1498">
        <v>27.62</v>
      </c>
      <c r="G1498" t="s">
        <v>3327</v>
      </c>
    </row>
    <row r="1499" spans="1:7">
      <c r="A1499">
        <v>1461</v>
      </c>
      <c r="B1499" t="s">
        <v>3460</v>
      </c>
      <c r="C1499" t="s">
        <v>3327</v>
      </c>
      <c r="D1499">
        <v>-118</v>
      </c>
      <c r="F1499">
        <v>19.149999999999999</v>
      </c>
      <c r="G1499" t="s">
        <v>3327</v>
      </c>
    </row>
    <row r="1500" spans="1:7">
      <c r="A1500">
        <v>1462</v>
      </c>
      <c r="B1500" t="s">
        <v>3460</v>
      </c>
      <c r="C1500" t="s">
        <v>3327</v>
      </c>
      <c r="D1500">
        <v>-119</v>
      </c>
      <c r="F1500">
        <v>19.149999999999999</v>
      </c>
      <c r="G1500" t="s">
        <v>3327</v>
      </c>
    </row>
    <row r="1501" spans="1:7">
      <c r="A1501">
        <v>1463</v>
      </c>
      <c r="B1501" t="s">
        <v>3460</v>
      </c>
      <c r="C1501" t="s">
        <v>3327</v>
      </c>
      <c r="D1501">
        <v>-120</v>
      </c>
      <c r="F1501">
        <v>27.62</v>
      </c>
      <c r="G1501" t="s">
        <v>3327</v>
      </c>
    </row>
    <row r="1502" spans="1:7">
      <c r="A1502">
        <v>1464</v>
      </c>
      <c r="B1502" t="s">
        <v>3460</v>
      </c>
      <c r="C1502">
        <v>1</v>
      </c>
      <c r="D1502">
        <v>201</v>
      </c>
      <c r="F1502">
        <v>192.52</v>
      </c>
      <c r="G1502" t="s">
        <v>3403</v>
      </c>
    </row>
    <row r="1503" spans="1:7">
      <c r="A1503">
        <v>1465</v>
      </c>
      <c r="B1503" t="s">
        <v>3460</v>
      </c>
      <c r="C1503">
        <v>1</v>
      </c>
      <c r="D1503">
        <v>202</v>
      </c>
      <c r="F1503">
        <v>184.46</v>
      </c>
      <c r="G1503" t="s">
        <v>3403</v>
      </c>
    </row>
    <row r="1504" spans="1:7">
      <c r="A1504">
        <v>1466</v>
      </c>
      <c r="B1504" t="s">
        <v>3460</v>
      </c>
      <c r="C1504">
        <v>1</v>
      </c>
      <c r="D1504">
        <v>301</v>
      </c>
      <c r="F1504">
        <v>192.52</v>
      </c>
      <c r="G1504" t="s">
        <v>3403</v>
      </c>
    </row>
    <row r="1505" spans="1:7">
      <c r="A1505">
        <v>1467</v>
      </c>
      <c r="B1505" t="s">
        <v>3460</v>
      </c>
      <c r="C1505">
        <v>1</v>
      </c>
      <c r="D1505">
        <v>401</v>
      </c>
      <c r="F1505">
        <v>192.52</v>
      </c>
      <c r="G1505" t="s">
        <v>3403</v>
      </c>
    </row>
    <row r="1506" spans="1:7">
      <c r="A1506">
        <v>1468</v>
      </c>
      <c r="B1506" t="s">
        <v>3460</v>
      </c>
      <c r="C1506">
        <v>1</v>
      </c>
      <c r="D1506">
        <v>402</v>
      </c>
      <c r="F1506">
        <v>184.46</v>
      </c>
      <c r="G1506" t="s">
        <v>3403</v>
      </c>
    </row>
    <row r="1507" spans="1:7">
      <c r="A1507">
        <v>1469</v>
      </c>
      <c r="B1507" t="s">
        <v>3460</v>
      </c>
      <c r="C1507" t="s">
        <v>3327</v>
      </c>
      <c r="D1507">
        <v>-201</v>
      </c>
      <c r="F1507">
        <v>18.329999999999998</v>
      </c>
      <c r="G1507" t="s">
        <v>3327</v>
      </c>
    </row>
    <row r="1508" spans="1:7">
      <c r="A1508">
        <v>1470</v>
      </c>
      <c r="B1508" t="s">
        <v>3460</v>
      </c>
      <c r="C1508" t="s">
        <v>3327</v>
      </c>
      <c r="D1508">
        <v>-202</v>
      </c>
      <c r="F1508">
        <v>16.34</v>
      </c>
      <c r="G1508" t="s">
        <v>3327</v>
      </c>
    </row>
    <row r="1509" spans="1:7">
      <c r="A1509">
        <v>1471</v>
      </c>
      <c r="B1509" t="s">
        <v>3460</v>
      </c>
      <c r="C1509" t="s">
        <v>3327</v>
      </c>
      <c r="D1509">
        <v>-203</v>
      </c>
      <c r="F1509">
        <v>16.34</v>
      </c>
      <c r="G1509" t="s">
        <v>3327</v>
      </c>
    </row>
    <row r="1510" spans="1:7">
      <c r="A1510">
        <v>1472</v>
      </c>
      <c r="B1510" t="s">
        <v>3460</v>
      </c>
      <c r="C1510" t="s">
        <v>3327</v>
      </c>
      <c r="D1510">
        <v>-204</v>
      </c>
      <c r="F1510">
        <v>17.02</v>
      </c>
      <c r="G1510" t="s">
        <v>3327</v>
      </c>
    </row>
    <row r="1511" spans="1:7">
      <c r="A1511">
        <v>1473</v>
      </c>
      <c r="B1511" t="s">
        <v>3460</v>
      </c>
      <c r="C1511">
        <v>2</v>
      </c>
      <c r="D1511">
        <v>101</v>
      </c>
      <c r="F1511">
        <v>161.81</v>
      </c>
      <c r="G1511" t="s">
        <v>3403</v>
      </c>
    </row>
    <row r="1512" spans="1:7">
      <c r="A1512">
        <v>1474</v>
      </c>
      <c r="B1512" t="s">
        <v>3460</v>
      </c>
      <c r="C1512">
        <v>2</v>
      </c>
      <c r="D1512">
        <v>102</v>
      </c>
      <c r="F1512">
        <v>184.92</v>
      </c>
      <c r="G1512" t="s">
        <v>3403</v>
      </c>
    </row>
    <row r="1513" spans="1:7">
      <c r="A1513">
        <v>1475</v>
      </c>
      <c r="B1513" t="s">
        <v>3460</v>
      </c>
      <c r="C1513">
        <v>2</v>
      </c>
      <c r="D1513">
        <v>202</v>
      </c>
      <c r="F1513">
        <v>184.96</v>
      </c>
      <c r="G1513" t="s">
        <v>3403</v>
      </c>
    </row>
    <row r="1514" spans="1:7">
      <c r="A1514">
        <v>1476</v>
      </c>
      <c r="B1514" t="s">
        <v>3460</v>
      </c>
      <c r="C1514">
        <v>2</v>
      </c>
      <c r="D1514">
        <v>301</v>
      </c>
      <c r="F1514">
        <v>184.46</v>
      </c>
      <c r="G1514" t="s">
        <v>3403</v>
      </c>
    </row>
    <row r="1515" spans="1:7">
      <c r="A1515">
        <v>1477</v>
      </c>
      <c r="B1515" t="s">
        <v>3460</v>
      </c>
      <c r="C1515">
        <v>2</v>
      </c>
      <c r="D1515">
        <v>401</v>
      </c>
      <c r="F1515">
        <v>184.46</v>
      </c>
      <c r="G1515" t="s">
        <v>3403</v>
      </c>
    </row>
    <row r="1516" spans="1:7">
      <c r="A1516">
        <v>1478</v>
      </c>
      <c r="B1516" t="s">
        <v>3460</v>
      </c>
      <c r="C1516">
        <v>2</v>
      </c>
      <c r="D1516">
        <v>402</v>
      </c>
      <c r="F1516">
        <v>184.96</v>
      </c>
      <c r="G1516" t="s">
        <v>3403</v>
      </c>
    </row>
    <row r="1517" spans="1:7">
      <c r="F1517">
        <f>SUM(F39:F1516)</f>
        <v>105107.28000000006</v>
      </c>
    </row>
  </sheetData>
  <mergeCells count="3">
    <mergeCell ref="B1:D1"/>
    <mergeCell ref="F1:H1"/>
    <mergeCell ref="I1:K1"/>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L40" sqref="L40"/>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0"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1128</v>
      </c>
      <c r="B1" s="1137"/>
      <c r="C1" s="1137"/>
      <c r="D1" s="1137"/>
      <c r="E1" s="1137"/>
      <c r="F1" s="1137"/>
      <c r="G1" s="1137"/>
      <c r="H1" s="1137"/>
      <c r="I1" s="1137"/>
      <c r="J1" s="1137"/>
      <c r="K1" s="1137"/>
      <c r="L1" s="1137"/>
      <c r="M1" s="1137"/>
      <c r="N1" s="1137"/>
      <c r="O1" s="1137"/>
      <c r="P1" s="1137"/>
    </row>
    <row r="2" spans="1:16" ht="15">
      <c r="A2" s="3554" t="s">
        <v>1129</v>
      </c>
      <c r="B2" s="3554"/>
      <c r="C2" s="3554"/>
      <c r="D2" s="794" t="s">
        <v>1105</v>
      </c>
      <c r="E2" s="1636" t="s">
        <v>1106</v>
      </c>
      <c r="F2" s="2650"/>
      <c r="G2" s="2641"/>
      <c r="H2" s="2642"/>
      <c r="I2" s="2319" t="s">
        <v>1130</v>
      </c>
      <c r="J2" s="2650"/>
      <c r="K2" s="2650"/>
      <c r="L2" s="2650"/>
      <c r="M2" s="2650"/>
      <c r="N2" s="2652"/>
      <c r="O2" s="2650"/>
      <c r="P2" s="2650"/>
    </row>
    <row r="3" spans="1:16" ht="15.75" thickBot="1">
      <c r="A3" s="3555" t="s">
        <v>1103</v>
      </c>
      <c r="B3" s="3555"/>
      <c r="C3" s="3555"/>
      <c r="D3" s="43">
        <f>'数据-基础表'!AY6</f>
        <v>53915.27</v>
      </c>
      <c r="E3" s="43">
        <f>'数据-基础表'!AZ5</f>
        <v>105107.27999999982</v>
      </c>
      <c r="F3" s="2650"/>
      <c r="G3" s="1143"/>
      <c r="H3" s="1024" t="s">
        <v>1104</v>
      </c>
      <c r="I3" s="853">
        <f>ROUND('数据-基础表'!B3/'数据-基础表'!A3,2)</f>
        <v>1.95</v>
      </c>
      <c r="J3" s="2650"/>
      <c r="K3" s="2650"/>
      <c r="L3" s="2650"/>
      <c r="M3" s="2650"/>
      <c r="N3" s="2652"/>
      <c r="O3" s="2650"/>
      <c r="P3" s="2650"/>
    </row>
    <row r="4" spans="1:16" ht="15">
      <c r="A4" s="3556"/>
      <c r="B4" s="3557"/>
      <c r="C4" s="3558"/>
      <c r="D4" s="1638" t="s">
        <v>1105</v>
      </c>
      <c r="E4" s="1639" t="s">
        <v>1106</v>
      </c>
      <c r="F4" s="2650"/>
      <c r="G4" s="2643" t="s">
        <v>1131</v>
      </c>
      <c r="H4" s="1024" t="s">
        <v>1111</v>
      </c>
      <c r="I4" s="853">
        <f>ROUND(SUMIF('数据-基础表'!I9:AS9,"地上",'数据-基础表'!I5:AS5)/'数据-基础表'!A3,2)</f>
        <v>1.27</v>
      </c>
      <c r="J4" s="2650"/>
      <c r="K4" s="2650"/>
      <c r="L4" s="2650"/>
      <c r="M4" s="2650"/>
      <c r="N4" s="2652"/>
      <c r="O4" s="2650"/>
      <c r="P4" s="2650"/>
    </row>
    <row r="5" spans="1:16">
      <c r="A5" s="44" t="s">
        <v>1107</v>
      </c>
      <c r="B5" s="3559" t="s">
        <v>1108</v>
      </c>
      <c r="C5" s="3559"/>
      <c r="D5" s="45">
        <f>ROUND($D$3*E5/$E$3,2)</f>
        <v>31953.81</v>
      </c>
      <c r="E5" s="46">
        <f>SUMIF('数据-基础表'!$11:$11,"住宅",'数据-基础表'!$5:$5)</f>
        <v>62293.630000000019</v>
      </c>
      <c r="F5" s="2650"/>
      <c r="G5" s="1143"/>
      <c r="H5" s="1024" t="s">
        <v>1104</v>
      </c>
      <c r="I5" s="853">
        <f>ROUND(E31/D31,2)</f>
        <v>1.95</v>
      </c>
      <c r="J5" s="2650"/>
      <c r="K5" s="2650"/>
      <c r="L5" s="2650"/>
      <c r="M5" s="2650"/>
      <c r="N5" s="2650"/>
      <c r="O5" s="2650"/>
      <c r="P5" s="2650"/>
    </row>
    <row r="6" spans="1:16" ht="15" thickBot="1">
      <c r="A6" s="1641"/>
      <c r="B6" s="3559" t="s">
        <v>1109</v>
      </c>
      <c r="C6" s="3559"/>
      <c r="D6" s="45">
        <f>ROUND($D$3*E6/$E$3,2)</f>
        <v>21961.46</v>
      </c>
      <c r="E6" s="46">
        <f>E3-E5</f>
        <v>42813.649999999805</v>
      </c>
      <c r="F6" s="2650"/>
      <c r="G6" s="2644" t="s">
        <v>1110</v>
      </c>
      <c r="H6" s="1144" t="s">
        <v>1111</v>
      </c>
      <c r="I6" s="2645">
        <f>ROUND(F31/D31,2)</f>
        <v>1.1599999999999999</v>
      </c>
      <c r="J6" s="2650"/>
      <c r="K6" s="2650"/>
      <c r="L6" s="2650"/>
      <c r="M6" s="2650"/>
      <c r="N6" s="2650"/>
      <c r="O6" s="2650"/>
      <c r="P6" s="2650"/>
    </row>
    <row r="7" spans="1:16" ht="15.75" thickBot="1">
      <c r="A7" s="3551"/>
      <c r="B7" s="3552"/>
      <c r="C7" s="3553"/>
      <c r="D7" s="1638" t="s">
        <v>1105</v>
      </c>
      <c r="E7" s="1642" t="s">
        <v>1112</v>
      </c>
      <c r="F7" s="2650"/>
      <c r="G7" s="2646" t="s">
        <v>1113</v>
      </c>
      <c r="H7" s="2647"/>
      <c r="I7" s="2648"/>
      <c r="J7" s="2650"/>
      <c r="K7" s="2650"/>
      <c r="L7" s="2650"/>
      <c r="M7" s="2650"/>
      <c r="N7" s="2650"/>
      <c r="O7" s="2650"/>
      <c r="P7" s="2650"/>
    </row>
    <row r="8" spans="1:16">
      <c r="A8" s="44" t="s">
        <v>1114</v>
      </c>
      <c r="B8" s="47" t="s">
        <v>1115</v>
      </c>
      <c r="C8" s="45" t="s">
        <v>1116</v>
      </c>
      <c r="D8" s="45">
        <f t="shared" ref="D8:D15" si="0">ROUND($D$3*E8/$E$3,2)</f>
        <v>31953.81</v>
      </c>
      <c r="E8" s="48">
        <f>SUMIF('数据-基础表'!BB10:BK10,"地上",'数据-基础表'!BB5:BK5)</f>
        <v>62293.630000000019</v>
      </c>
      <c r="F8" s="2650"/>
      <c r="G8" s="2651"/>
      <c r="H8" s="2651"/>
      <c r="I8" s="2650"/>
      <c r="J8" s="2650"/>
      <c r="K8" s="2650"/>
      <c r="L8" s="2650"/>
      <c r="M8" s="2650"/>
      <c r="N8" s="2650"/>
      <c r="O8" s="2650"/>
      <c r="P8" s="2650"/>
    </row>
    <row r="9" spans="1:16">
      <c r="A9" s="1643"/>
      <c r="B9" s="1644"/>
      <c r="C9" s="45" t="s">
        <v>1117</v>
      </c>
      <c r="D9" s="45">
        <f t="shared" si="0"/>
        <v>0</v>
      </c>
      <c r="E9" s="49">
        <v>0</v>
      </c>
      <c r="F9" s="2650"/>
      <c r="G9" s="2651"/>
      <c r="H9" s="2651"/>
      <c r="I9" s="2650"/>
      <c r="J9" s="2650"/>
      <c r="K9" s="2650"/>
      <c r="L9" s="2650"/>
      <c r="M9" s="2650"/>
      <c r="N9" s="2650"/>
      <c r="O9" s="2650"/>
      <c r="P9" s="2650"/>
    </row>
    <row r="10" spans="1:16">
      <c r="A10" s="1643"/>
      <c r="B10" s="1644"/>
      <c r="C10" s="45" t="s">
        <v>1126</v>
      </c>
      <c r="D10" s="45">
        <f t="shared" si="0"/>
        <v>0</v>
      </c>
      <c r="E10" s="48">
        <f>SUMPRODUCT(('数据-基础表'!BB10:BK10="地下")*('数据-基础表'!BB11:BK11="商业")*('数据-基础表'!BB5:BK5))</f>
        <v>0</v>
      </c>
      <c r="F10" s="2650"/>
      <c r="G10" s="2651"/>
      <c r="H10" s="2651"/>
      <c r="I10" s="2650"/>
      <c r="J10" s="2650"/>
      <c r="K10" s="2650"/>
      <c r="L10" s="2650"/>
      <c r="M10" s="2650"/>
      <c r="N10" s="2650"/>
      <c r="O10" s="2650"/>
      <c r="P10" s="2650"/>
    </row>
    <row r="11" spans="1:16">
      <c r="A11" s="1643"/>
      <c r="B11" s="1644"/>
      <c r="C11" s="45" t="s">
        <v>1118</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3"/>
      <c r="B12" s="1644"/>
      <c r="C12" s="45" t="s">
        <v>1119</v>
      </c>
      <c r="D12" s="45">
        <f t="shared" si="0"/>
        <v>10798.89</v>
      </c>
      <c r="E12" s="48">
        <f>SUMPRODUCT(('数据-基础表'!BB10:BK10="地下")*('数据-基础表'!BB11:BK11="仓储")*('数据-基础表'!BB5:BK5))</f>
        <v>21052.319999999996</v>
      </c>
      <c r="F12" s="2650"/>
      <c r="G12" s="2651"/>
      <c r="H12" s="2651"/>
      <c r="I12" s="2650"/>
      <c r="J12" s="2650"/>
      <c r="K12" s="2650"/>
      <c r="L12" s="2650"/>
      <c r="M12" s="2650"/>
      <c r="N12" s="2650"/>
      <c r="O12" s="2650"/>
      <c r="P12" s="2650"/>
    </row>
    <row r="13" spans="1:16">
      <c r="A13" s="1643"/>
      <c r="B13" s="1644"/>
      <c r="C13" s="45" t="s">
        <v>1120</v>
      </c>
      <c r="D13" s="45">
        <f t="shared" si="0"/>
        <v>11162.58</v>
      </c>
      <c r="E13" s="48">
        <f>SUMPRODUCT(('数据-基础表'!BB10:BK10="地下")*('数据-基础表'!BB11:BK11="车库")*('数据-基础表'!BB5:BK5))</f>
        <v>21761.329999999823</v>
      </c>
      <c r="F13" s="2650"/>
      <c r="G13" s="2651"/>
      <c r="H13" s="2651"/>
      <c r="I13" s="2650"/>
      <c r="J13" s="2650"/>
      <c r="K13" s="2650"/>
      <c r="L13" s="2650"/>
      <c r="M13" s="2650"/>
      <c r="N13" s="2650"/>
      <c r="O13" s="2650"/>
      <c r="P13" s="2650"/>
    </row>
    <row r="14" spans="1:16">
      <c r="A14" s="1643"/>
      <c r="B14" s="1644"/>
      <c r="C14" s="45" t="s">
        <v>1132</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3"/>
      <c r="B15" s="1644"/>
      <c r="C15" s="45" t="s">
        <v>1127</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1"/>
      <c r="B16" s="1644"/>
      <c r="C16" s="47" t="s">
        <v>1121</v>
      </c>
      <c r="D16" s="47">
        <f>SUM(D8:D15)</f>
        <v>53915.28</v>
      </c>
      <c r="E16" s="50">
        <f>SUM(E8:E15)</f>
        <v>105107.27999999984</v>
      </c>
      <c r="F16" s="2650"/>
      <c r="G16" s="2651"/>
      <c r="H16" s="1645" t="s">
        <v>1133</v>
      </c>
      <c r="I16" s="1646"/>
      <c r="J16" s="1137"/>
      <c r="K16" s="3548" t="s">
        <v>1133</v>
      </c>
      <c r="L16" s="3549"/>
      <c r="M16" s="3549"/>
      <c r="N16" s="3549"/>
      <c r="O16" s="3549"/>
      <c r="P16" s="3550"/>
    </row>
    <row r="17" spans="1:19" ht="15">
      <c r="A17" s="1647" t="s">
        <v>1134</v>
      </c>
      <c r="B17" s="1648" t="s">
        <v>1135</v>
      </c>
      <c r="C17" s="1649" t="s">
        <v>1136</v>
      </c>
      <c r="D17" s="1650" t="s">
        <v>1124</v>
      </c>
      <c r="E17" s="1651" t="s">
        <v>1125</v>
      </c>
      <c r="F17" s="1652"/>
      <c r="G17" s="1653"/>
      <c r="H17" s="1654" t="s">
        <v>1137</v>
      </c>
      <c r="I17" s="1655" t="s">
        <v>1122</v>
      </c>
      <c r="J17" s="1137"/>
      <c r="K17" s="3545" t="s">
        <v>1138</v>
      </c>
      <c r="L17" s="3546"/>
      <c r="M17" s="3547"/>
      <c r="N17" s="3545" t="s">
        <v>1139</v>
      </c>
      <c r="O17" s="3546"/>
      <c r="P17" s="3547"/>
      <c r="R17" s="1637" t="s">
        <v>1140</v>
      </c>
      <c r="S17" s="56"/>
    </row>
    <row r="18" spans="1:19" ht="15">
      <c r="A18" s="1643"/>
      <c r="B18" s="1656"/>
      <c r="C18" s="1657"/>
      <c r="D18" s="1658"/>
      <c r="E18" s="1659" t="s">
        <v>1141</v>
      </c>
      <c r="F18" s="1660" t="s">
        <v>1142</v>
      </c>
      <c r="G18" s="1661" t="s">
        <v>1143</v>
      </c>
      <c r="H18" s="1039" t="s">
        <v>1144</v>
      </c>
      <c r="I18" s="1662" t="s">
        <v>1145</v>
      </c>
      <c r="J18" s="1137"/>
      <c r="K18" s="1039" t="s">
        <v>1146</v>
      </c>
      <c r="L18" s="1663" t="s">
        <v>1147</v>
      </c>
      <c r="M18" s="853" t="s">
        <v>1148</v>
      </c>
      <c r="N18" s="1039" t="s">
        <v>1146</v>
      </c>
      <c r="O18" s="1663" t="s">
        <v>1147</v>
      </c>
      <c r="P18" s="853" t="s">
        <v>1148</v>
      </c>
      <c r="R18" s="1024" t="s">
        <v>1149</v>
      </c>
      <c r="S18" s="1024" t="s">
        <v>1150</v>
      </c>
    </row>
    <row r="19" spans="1:19">
      <c r="A19" s="1664"/>
      <c r="B19" s="47" t="s">
        <v>1123</v>
      </c>
      <c r="C19" s="3408" t="s">
        <v>3495</v>
      </c>
      <c r="D19" s="45">
        <f>ROUND($D$3*E19/$E$3,2)</f>
        <v>31953.81</v>
      </c>
      <c r="E19" s="53">
        <f t="shared" ref="E19:E26" si="1">SUM(F19:G19)</f>
        <v>62293.630000000019</v>
      </c>
      <c r="F19" s="2786">
        <f>'数据-基础表'!BB5</f>
        <v>62293.630000000019</v>
      </c>
      <c r="G19" s="2787"/>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5"/>
      <c r="O19" s="1666"/>
      <c r="P19" s="1148">
        <f>N19+O19</f>
        <v>0</v>
      </c>
      <c r="R19" s="1024">
        <f t="shared" ref="R19:S26" si="5">D19+H19</f>
        <v>31953.81</v>
      </c>
      <c r="S19" s="1025">
        <f t="shared" si="5"/>
        <v>62293.630000000019</v>
      </c>
    </row>
    <row r="20" spans="1:19">
      <c r="A20" s="1667"/>
      <c r="B20" s="47" t="s">
        <v>1151</v>
      </c>
      <c r="C20" s="3408" t="s">
        <v>3496</v>
      </c>
      <c r="D20" s="45">
        <f t="shared" ref="D20:D26" si="6">ROUND($D$3*E20/$E$3,2)</f>
        <v>10798.89</v>
      </c>
      <c r="E20" s="53">
        <f t="shared" si="1"/>
        <v>21052.319999999996</v>
      </c>
      <c r="F20" s="2786"/>
      <c r="G20" s="2787">
        <f>'数据-基础表'!BC5</f>
        <v>21052.319999999996</v>
      </c>
      <c r="H20" s="668">
        <f t="shared" ref="H20:H26" si="7">ROUND($D$3*I20/$E$3,2)</f>
        <v>0</v>
      </c>
      <c r="I20" s="48">
        <f t="shared" si="2"/>
        <v>0</v>
      </c>
      <c r="J20" s="1137"/>
      <c r="K20" s="1136">
        <f t="shared" si="3"/>
        <v>0</v>
      </c>
      <c r="L20" s="1024">
        <f t="shared" si="4"/>
        <v>0</v>
      </c>
      <c r="M20" s="1148">
        <f t="shared" ref="M20:M26" si="8">K20+L20</f>
        <v>0</v>
      </c>
      <c r="N20" s="1665"/>
      <c r="O20" s="1666"/>
      <c r="P20" s="1148">
        <f t="shared" ref="P20:P26" si="9">N20+O20</f>
        <v>0</v>
      </c>
      <c r="R20" s="1024">
        <f t="shared" si="5"/>
        <v>10798.89</v>
      </c>
      <c r="S20" s="1025">
        <f t="shared" si="5"/>
        <v>21052.319999999996</v>
      </c>
    </row>
    <row r="21" spans="1:19">
      <c r="A21" s="1667"/>
      <c r="B21" s="47" t="s">
        <v>1151</v>
      </c>
      <c r="C21" s="3408" t="s">
        <v>3497</v>
      </c>
      <c r="D21" s="45">
        <f t="shared" si="6"/>
        <v>11162.58</v>
      </c>
      <c r="E21" s="53">
        <f t="shared" si="1"/>
        <v>21761.329999999823</v>
      </c>
      <c r="F21" s="2786"/>
      <c r="G21" s="2787">
        <f>'数据-基础表'!BD5</f>
        <v>21761.329999999823</v>
      </c>
      <c r="H21" s="668">
        <f t="shared" si="7"/>
        <v>0</v>
      </c>
      <c r="I21" s="48">
        <f t="shared" si="2"/>
        <v>0</v>
      </c>
      <c r="J21" s="1137"/>
      <c r="K21" s="1136">
        <f t="shared" si="3"/>
        <v>0</v>
      </c>
      <c r="L21" s="1024">
        <f t="shared" si="4"/>
        <v>0</v>
      </c>
      <c r="M21" s="1148">
        <f t="shared" si="8"/>
        <v>0</v>
      </c>
      <c r="N21" s="1665"/>
      <c r="O21" s="1666"/>
      <c r="P21" s="1148">
        <f t="shared" si="9"/>
        <v>0</v>
      </c>
      <c r="R21" s="1024">
        <f t="shared" si="5"/>
        <v>11162.58</v>
      </c>
      <c r="S21" s="1025">
        <f t="shared" si="5"/>
        <v>21761.329999999823</v>
      </c>
    </row>
    <row r="22" spans="1:19">
      <c r="A22" s="1667"/>
      <c r="B22" s="47" t="s">
        <v>1151</v>
      </c>
      <c r="C22" s="3409"/>
      <c r="D22" s="45">
        <f t="shared" si="6"/>
        <v>0</v>
      </c>
      <c r="E22" s="53">
        <f t="shared" si="1"/>
        <v>0</v>
      </c>
      <c r="F22" s="2788"/>
      <c r="G22" s="2789"/>
      <c r="H22" s="668">
        <f t="shared" si="7"/>
        <v>0</v>
      </c>
      <c r="I22" s="48">
        <f t="shared" si="2"/>
        <v>0</v>
      </c>
      <c r="J22" s="1137"/>
      <c r="K22" s="1136">
        <f t="shared" si="3"/>
        <v>0</v>
      </c>
      <c r="L22" s="1024">
        <f t="shared" si="4"/>
        <v>0</v>
      </c>
      <c r="M22" s="1148">
        <f t="shared" si="8"/>
        <v>0</v>
      </c>
      <c r="N22" s="1665"/>
      <c r="O22" s="1666"/>
      <c r="P22" s="1148">
        <f t="shared" si="9"/>
        <v>0</v>
      </c>
      <c r="R22" s="1024">
        <f t="shared" si="5"/>
        <v>0</v>
      </c>
      <c r="S22" s="1025">
        <f t="shared" si="5"/>
        <v>0</v>
      </c>
    </row>
    <row r="23" spans="1:19">
      <c r="A23" s="1667"/>
      <c r="B23" s="47" t="s">
        <v>1151</v>
      </c>
      <c r="C23" s="3409"/>
      <c r="D23" s="45">
        <f>ROUND($D$3*E23/$E$3,2)</f>
        <v>0</v>
      </c>
      <c r="E23" s="53">
        <f>SUM(F23:G23)</f>
        <v>0</v>
      </c>
      <c r="F23" s="2788"/>
      <c r="G23" s="2789"/>
      <c r="H23" s="668">
        <f>ROUND($D$3*I23/$E$3,2)</f>
        <v>0</v>
      </c>
      <c r="I23" s="48">
        <f t="shared" si="2"/>
        <v>0</v>
      </c>
      <c r="J23" s="1137"/>
      <c r="K23" s="1136">
        <f t="shared" si="3"/>
        <v>0</v>
      </c>
      <c r="L23" s="1024">
        <f t="shared" si="4"/>
        <v>0</v>
      </c>
      <c r="M23" s="1148">
        <f t="shared" si="8"/>
        <v>0</v>
      </c>
      <c r="N23" s="1665"/>
      <c r="O23" s="1666"/>
      <c r="P23" s="1148">
        <f t="shared" si="9"/>
        <v>0</v>
      </c>
      <c r="R23" s="1024">
        <f t="shared" si="5"/>
        <v>0</v>
      </c>
      <c r="S23" s="1025">
        <f t="shared" si="5"/>
        <v>0</v>
      </c>
    </row>
    <row r="24" spans="1:19">
      <c r="A24" s="1667"/>
      <c r="B24" s="47" t="s">
        <v>1151</v>
      </c>
      <c r="C24" s="3409"/>
      <c r="D24" s="45">
        <f>ROUND($D$3*E24/$E$3,2)</f>
        <v>0</v>
      </c>
      <c r="E24" s="53">
        <f>SUM(F24:G24)</f>
        <v>0</v>
      </c>
      <c r="F24" s="2788"/>
      <c r="G24" s="2789"/>
      <c r="H24" s="668">
        <f>ROUND($D$3*I24/$E$3,2)</f>
        <v>0</v>
      </c>
      <c r="I24" s="48">
        <f t="shared" si="2"/>
        <v>0</v>
      </c>
      <c r="J24" s="1137"/>
      <c r="K24" s="1136">
        <f t="shared" si="3"/>
        <v>0</v>
      </c>
      <c r="L24" s="1024">
        <f t="shared" si="4"/>
        <v>0</v>
      </c>
      <c r="M24" s="1148">
        <f t="shared" si="8"/>
        <v>0</v>
      </c>
      <c r="N24" s="1665"/>
      <c r="O24" s="1666"/>
      <c r="P24" s="1148">
        <f t="shared" si="9"/>
        <v>0</v>
      </c>
      <c r="R24" s="1024">
        <f t="shared" si="5"/>
        <v>0</v>
      </c>
      <c r="S24" s="1025">
        <f t="shared" si="5"/>
        <v>0</v>
      </c>
    </row>
    <row r="25" spans="1:19">
      <c r="A25" s="1667"/>
      <c r="B25" s="47" t="s">
        <v>1151</v>
      </c>
      <c r="C25" s="3409"/>
      <c r="D25" s="45">
        <f t="shared" si="6"/>
        <v>0</v>
      </c>
      <c r="E25" s="53">
        <f t="shared" si="1"/>
        <v>0</v>
      </c>
      <c r="F25" s="2788"/>
      <c r="G25" s="2789"/>
      <c r="H25" s="44">
        <f t="shared" si="7"/>
        <v>0</v>
      </c>
      <c r="I25" s="48">
        <f t="shared" si="2"/>
        <v>0</v>
      </c>
      <c r="J25" s="1137"/>
      <c r="K25" s="1136">
        <f t="shared" si="3"/>
        <v>0</v>
      </c>
      <c r="L25" s="1024">
        <f t="shared" si="4"/>
        <v>0</v>
      </c>
      <c r="M25" s="1148">
        <f t="shared" si="8"/>
        <v>0</v>
      </c>
      <c r="N25" s="1665"/>
      <c r="O25" s="1666"/>
      <c r="P25" s="1148">
        <f t="shared" si="9"/>
        <v>0</v>
      </c>
      <c r="R25" s="1024">
        <f t="shared" si="5"/>
        <v>0</v>
      </c>
      <c r="S25" s="1025">
        <f t="shared" si="5"/>
        <v>0</v>
      </c>
    </row>
    <row r="26" spans="1:19">
      <c r="A26" s="1667"/>
      <c r="B26" s="47" t="s">
        <v>1151</v>
      </c>
      <c r="C26" s="55"/>
      <c r="D26" s="45">
        <f t="shared" si="6"/>
        <v>0</v>
      </c>
      <c r="E26" s="53">
        <f t="shared" si="1"/>
        <v>0</v>
      </c>
      <c r="F26" s="2788"/>
      <c r="G26" s="2789"/>
      <c r="H26" s="44">
        <f t="shared" si="7"/>
        <v>0</v>
      </c>
      <c r="I26" s="48">
        <f t="shared" si="2"/>
        <v>0</v>
      </c>
      <c r="J26" s="1137"/>
      <c r="K26" s="1143">
        <f t="shared" si="3"/>
        <v>0</v>
      </c>
      <c r="L26" s="1144">
        <f t="shared" si="4"/>
        <v>0</v>
      </c>
      <c r="M26" s="59">
        <f t="shared" si="8"/>
        <v>0</v>
      </c>
      <c r="N26" s="1668"/>
      <c r="O26" s="1669"/>
      <c r="P26" s="59">
        <f t="shared" si="9"/>
        <v>0</v>
      </c>
      <c r="R26" s="1024">
        <f t="shared" si="5"/>
        <v>0</v>
      </c>
      <c r="S26" s="1025">
        <f t="shared" si="5"/>
        <v>0</v>
      </c>
    </row>
    <row r="27" spans="1:19" ht="29.25" thickBot="1">
      <c r="A27" s="1667"/>
      <c r="B27" s="45"/>
      <c r="C27" s="1670" t="s">
        <v>1152</v>
      </c>
      <c r="D27" s="1138">
        <f>SUM(D19:D26)</f>
        <v>53915.28</v>
      </c>
      <c r="E27" s="1139">
        <f>IF(SUM(E19:E26)='数据-基础表'!BA5,SUM(E19:E26),IF(F27="地上面积有误","面积有误","地下面积有误"))</f>
        <v>105107.27999999984</v>
      </c>
      <c r="F27" s="1138">
        <f>IF(SUM(F19:F26)=E8,SUM(F19:F26),"地上面积有误")</f>
        <v>62293.630000000019</v>
      </c>
      <c r="G27" s="1140">
        <f>SUM(G19:G26)</f>
        <v>42813.64999999982</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t="str">
        <f>IF(SUM(R19:R26)=$D$3,SUM(R19:R26),SUM(R19:R26)&amp;"误差"&amp;ROUND(SUM(R19:R26)-$D$3,2))</f>
        <v>53915.28误差0.01</v>
      </c>
      <c r="S27" s="1024">
        <f>IF(SUM(S19:S26)=$E$3,SUM(S19:S26),SUM(S19:S26)&amp;"误差"&amp;ROUND(SUM(S19:S26)-E3,2))</f>
        <v>105107.27999999984</v>
      </c>
    </row>
    <row r="28" spans="1:19">
      <c r="A28" s="1667"/>
      <c r="B28" s="47" t="s">
        <v>1153</v>
      </c>
      <c r="C28" s="1036" t="s">
        <v>1154</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7"/>
      <c r="B29" s="47" t="s">
        <v>1153</v>
      </c>
      <c r="C29" s="1671" t="s">
        <v>1155</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7"/>
      <c r="B30" s="47"/>
      <c r="C30" s="1672" t="s">
        <v>1152</v>
      </c>
      <c r="D30" s="1138">
        <f>SUM(D28:D29)</f>
        <v>0</v>
      </c>
      <c r="E30" s="1138">
        <f>SUM(E28:E29)</f>
        <v>0</v>
      </c>
      <c r="F30" s="1138">
        <f>SUM(F28:F29)</f>
        <v>0</v>
      </c>
      <c r="G30" s="1140">
        <f>SUM(G28:G29)</f>
        <v>0</v>
      </c>
      <c r="H30" s="2650"/>
      <c r="I30" s="2650"/>
      <c r="J30" s="2650"/>
      <c r="K30" s="2650"/>
      <c r="L30" s="2650"/>
      <c r="M30" s="2650"/>
      <c r="N30" s="2650"/>
      <c r="O30" s="2650"/>
      <c r="P30" s="2650"/>
    </row>
    <row r="31" spans="1:19" ht="15.75" thickBot="1">
      <c r="A31" s="1673"/>
      <c r="B31" s="1674"/>
      <c r="C31" s="833" t="s">
        <v>1156</v>
      </c>
      <c r="D31" s="674">
        <f>D27+D30</f>
        <v>53915.28</v>
      </c>
      <c r="E31" s="674">
        <f>E27+E30</f>
        <v>105107.27999999984</v>
      </c>
      <c r="F31" s="675">
        <f>F27+F30</f>
        <v>62293.630000000019</v>
      </c>
      <c r="G31" s="676">
        <f>G27+G30</f>
        <v>42813.64999999982</v>
      </c>
      <c r="H31" s="2650"/>
      <c r="I31" s="2650"/>
      <c r="J31" s="2650"/>
      <c r="K31" s="2650"/>
      <c r="L31" s="2650"/>
      <c r="M31" s="2650"/>
      <c r="N31" s="2650"/>
      <c r="O31" s="2650"/>
      <c r="P31" s="2650"/>
    </row>
    <row r="32" spans="1:19">
      <c r="A32" s="1640"/>
      <c r="B32" s="1640" t="s">
        <v>1157</v>
      </c>
      <c r="C32" s="1640"/>
      <c r="D32" s="1640"/>
      <c r="E32" s="1051">
        <f>SUMIF(C19:C26,"*住宅*",E19:E26)</f>
        <v>62293.630000000019</v>
      </c>
      <c r="F32" s="1640"/>
      <c r="G32" s="1640"/>
      <c r="H32" s="2650"/>
      <c r="I32" s="2650"/>
      <c r="J32" s="2650"/>
      <c r="K32" s="2650"/>
      <c r="L32" s="2650"/>
      <c r="M32" s="2650"/>
      <c r="N32" s="2650"/>
      <c r="O32" s="2650"/>
      <c r="P32" s="2650"/>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4" activePane="bottomRight" state="frozen"/>
      <selection activeCell="C50" sqref="C50"/>
      <selection pane="topRight" activeCell="C50" sqref="C50"/>
      <selection pane="bottomLeft" activeCell="C50" sqref="C50"/>
      <selection pane="bottomRight" activeCell="M28" sqref="M28"/>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1158</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2"/>
      <c r="AO1" s="2662"/>
      <c r="AP1" s="2662"/>
      <c r="AQ1" s="2662"/>
      <c r="AR1" s="2662"/>
    </row>
    <row r="2" spans="1:67" s="1556" customFormat="1" ht="15.75" thickBot="1">
      <c r="A2" s="1680" t="s">
        <v>1159</v>
      </c>
      <c r="B2" s="1043">
        <f>项目基本情况!D3</f>
        <v>45576</v>
      </c>
      <c r="C2" s="1681"/>
      <c r="D2" s="1682"/>
      <c r="E2" s="1681"/>
      <c r="F2" s="1681"/>
      <c r="G2" s="1681"/>
      <c r="H2" s="1681"/>
      <c r="I2" s="1681"/>
      <c r="J2" s="1681"/>
      <c r="K2" s="1166"/>
      <c r="L2" s="1166"/>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64"/>
      <c r="AO2" s="2664"/>
      <c r="AP2" s="2664"/>
      <c r="AQ2" s="2664"/>
      <c r="AR2" s="2664"/>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6"/>
      <c r="L3" s="1166"/>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64"/>
      <c r="AO3" s="2664"/>
      <c r="AP3" s="2664"/>
      <c r="AQ3" s="2664"/>
      <c r="AR3" s="2664"/>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1160</v>
      </c>
      <c r="B4" s="1685"/>
      <c r="C4" s="1686"/>
      <c r="D4" s="1687"/>
      <c r="E4" s="1686" t="s">
        <v>1161</v>
      </c>
      <c r="F4" s="1686"/>
      <c r="G4" s="1686"/>
      <c r="H4" s="1686"/>
      <c r="I4" s="1686"/>
      <c r="J4" s="1688"/>
      <c r="K4" s="1689"/>
      <c r="L4" s="1690"/>
      <c r="M4" s="1686"/>
      <c r="N4" s="1686" t="s">
        <v>1162</v>
      </c>
      <c r="O4" s="1686"/>
      <c r="P4" s="1686"/>
      <c r="Q4" s="1686"/>
      <c r="R4" s="1686"/>
      <c r="S4" s="1688"/>
      <c r="T4" s="2649" t="str">
        <f>'数据-汇总表'!I17</f>
        <v>按面积比例</v>
      </c>
      <c r="U4" s="1685" t="s">
        <v>1163</v>
      </c>
      <c r="V4" s="1686"/>
      <c r="W4" s="1686"/>
      <c r="X4" s="1686"/>
      <c r="Y4" s="1688"/>
      <c r="Z4" s="1649" t="s">
        <v>1164</v>
      </c>
      <c r="AA4" s="1649"/>
      <c r="AB4" s="1649"/>
      <c r="AC4" s="1649"/>
      <c r="AD4" s="1649"/>
      <c r="AE4" s="1647" t="s">
        <v>1165</v>
      </c>
      <c r="AF4" s="1649"/>
      <c r="AG4" s="1691"/>
      <c r="AH4" s="1685"/>
      <c r="AI4" s="1686"/>
      <c r="AJ4" s="1686"/>
      <c r="AK4" s="1686"/>
      <c r="AL4" s="1686"/>
      <c r="AM4" s="1688"/>
      <c r="AN4" s="2664"/>
      <c r="AO4" s="2664"/>
      <c r="AP4" s="2664"/>
      <c r="AQ4" s="2664"/>
      <c r="AR4" s="2664"/>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1166</v>
      </c>
      <c r="B5" s="1693" t="s">
        <v>1167</v>
      </c>
      <c r="C5" s="1694" t="s">
        <v>1168</v>
      </c>
      <c r="D5" s="1695" t="s">
        <v>1169</v>
      </c>
      <c r="E5" s="1045" t="s">
        <v>1170</v>
      </c>
      <c r="F5" s="1696" t="s">
        <v>1171</v>
      </c>
      <c r="G5" s="1045" t="s">
        <v>1172</v>
      </c>
      <c r="H5" s="1045" t="s">
        <v>1173</v>
      </c>
      <c r="I5" s="1045" t="s">
        <v>1174</v>
      </c>
      <c r="J5" s="1697" t="s">
        <v>1175</v>
      </c>
      <c r="K5" s="1698" t="s">
        <v>1176</v>
      </c>
      <c r="L5" s="1699" t="s">
        <v>1177</v>
      </c>
      <c r="M5" s="1700" t="s">
        <v>1178</v>
      </c>
      <c r="N5" s="1701" t="s">
        <v>3498</v>
      </c>
      <c r="O5" s="1699" t="s">
        <v>1179</v>
      </c>
      <c r="P5" s="1702" t="s">
        <v>1180</v>
      </c>
      <c r="Q5" s="61" t="s">
        <v>1181</v>
      </c>
      <c r="R5" s="1703" t="s">
        <v>1182</v>
      </c>
      <c r="S5" s="1704" t="s">
        <v>1183</v>
      </c>
      <c r="T5" s="1705" t="s">
        <v>1184</v>
      </c>
      <c r="U5" s="1044" t="s">
        <v>1185</v>
      </c>
      <c r="V5" s="1045" t="s">
        <v>1186</v>
      </c>
      <c r="W5" s="1045" t="s">
        <v>1187</v>
      </c>
      <c r="X5" s="63"/>
      <c r="Y5" s="62" t="s">
        <v>1188</v>
      </c>
      <c r="Z5" s="1706" t="s">
        <v>1185</v>
      </c>
      <c r="AA5" s="1045" t="s">
        <v>1186</v>
      </c>
      <c r="AB5" s="1045" t="s">
        <v>1187</v>
      </c>
      <c r="AC5" s="63"/>
      <c r="AD5" s="63" t="s">
        <v>1188</v>
      </c>
      <c r="AE5" s="1044" t="s">
        <v>1189</v>
      </c>
      <c r="AF5" s="1045" t="s">
        <v>1190</v>
      </c>
      <c r="AG5" s="62" t="s">
        <v>1191</v>
      </c>
      <c r="AH5" s="1044" t="s">
        <v>1192</v>
      </c>
      <c r="AI5" s="1706" t="s">
        <v>1193</v>
      </c>
      <c r="AJ5" s="1706" t="s">
        <v>1194</v>
      </c>
      <c r="AK5" s="1045" t="s">
        <v>1195</v>
      </c>
      <c r="AL5" s="1045" t="s">
        <v>1196</v>
      </c>
      <c r="AM5" s="62" t="s">
        <v>1197</v>
      </c>
      <c r="AN5" s="1707" t="s">
        <v>1198</v>
      </c>
      <c r="AO5" s="1559" t="s">
        <v>1199</v>
      </c>
      <c r="AP5" s="1026" t="s">
        <v>1200</v>
      </c>
      <c r="AQ5" s="1708" t="s">
        <v>1201</v>
      </c>
      <c r="AR5" s="1708" t="s">
        <v>1202</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住宅</v>
      </c>
      <c r="B6" s="1710" t="str">
        <f>IF(A6=0,"","经营性")</f>
        <v>经营性</v>
      </c>
      <c r="C6" s="1711" t="s">
        <v>3403</v>
      </c>
      <c r="D6" s="856">
        <f>SUMIF(项目基本情况!C$12:I$12,C6,项目基本情况!C$14:I$14)</f>
        <v>70</v>
      </c>
      <c r="E6" s="855">
        <f>IF(B6="","",SUMIF(项目基本情况!C$12:I$12,C6,项目基本情况!C$13:I$13))</f>
        <v>70658</v>
      </c>
      <c r="F6" s="64">
        <f>SUMIF(项目基本情况!C$12:I$12,C6,项目基本情况!C$15:I$15)</f>
        <v>68.709999999999994</v>
      </c>
      <c r="G6" s="65">
        <f>IF(ISERROR(ROUND(POWER(1+H6,D6-F6)*(POWER(1+H6,F6)-1)/(POWER(1+H6,D6)-1),3)),0,ROUND(POWER(1+H6,D6-F6)*(POWER(1+H6,F6)-1)/(POWER(1+H6,D6)-1),3))</f>
        <v>0.996</v>
      </c>
      <c r="H6" s="730">
        <v>0.04</v>
      </c>
      <c r="I6" s="730">
        <v>4.4999999999999998E-2</v>
      </c>
      <c r="J6" s="66">
        <v>7.0000000000000007E-2</v>
      </c>
      <c r="K6" s="1028">
        <f>SUMIF('数据-汇总表'!C$19:C$33,A6,'数据-汇总表'!E$19:E$33)</f>
        <v>62293.630000000019</v>
      </c>
      <c r="L6" s="731">
        <v>6500</v>
      </c>
      <c r="M6" s="67">
        <f t="shared" ref="M6:M14" si="0">ROUND(K6*L6/10000,0)</f>
        <v>40491</v>
      </c>
      <c r="N6" s="729">
        <v>0</v>
      </c>
      <c r="O6" s="67">
        <f>IF($N$5="成新度","——",ROUND(M6*N6,0))</f>
        <v>0</v>
      </c>
      <c r="P6" s="68">
        <f>IF($N$5="成新度","——",M6-O6)</f>
        <v>40491</v>
      </c>
      <c r="Q6" s="732">
        <v>0.18</v>
      </c>
      <c r="R6" s="69">
        <f ca="1">SUMIF('数据-汇总表'!C$19:C$33,A6,'数据-汇总表'!R$19:R$27)</f>
        <v>31953.81</v>
      </c>
      <c r="S6" s="51">
        <f>IF('数据-汇总表'!$I$17="按面积比例",SUMIF('数据-汇总表'!C$19:C$33,A6,'数据-汇总表'!K$19:K$33),SUMIF('数据-汇总表'!C$19:C$33,A6,'数据-汇总表'!N$19:N$33))</f>
        <v>0</v>
      </c>
      <c r="T6" s="1170">
        <f>ROUND($L$14*S6/10000,0)</f>
        <v>0</v>
      </c>
      <c r="U6" s="3419"/>
      <c r="V6" s="70"/>
      <c r="W6" s="70"/>
      <c r="X6" s="1038"/>
      <c r="Y6" s="71"/>
      <c r="Z6" s="72"/>
      <c r="AA6" s="66"/>
      <c r="AB6" s="66"/>
      <c r="AC6" s="1038"/>
      <c r="AD6" s="73"/>
      <c r="AE6" s="1039">
        <f ca="1">IF(AN6="",0,SUMIF(INDIRECT("'"&amp;AN6&amp;"'"&amp;"!E:E"),$AE$5,INDIRECT("'"&amp;AN6&amp;"'"&amp;"!F:F")))</f>
        <v>0</v>
      </c>
      <c r="AF6" s="1345"/>
      <c r="AG6" s="138">
        <f>IF(AF6="",0,AE6-AF6)</f>
        <v>0</v>
      </c>
      <c r="AH6" s="74"/>
      <c r="AI6" s="76"/>
      <c r="AJ6" s="77"/>
      <c r="AK6" s="78"/>
      <c r="AL6" s="79"/>
      <c r="AM6" s="80"/>
      <c r="AN6" s="1712"/>
      <c r="AO6" s="52" t="e">
        <f ca="1">SUMIF(INDIRECT("'"&amp;AN6&amp;"'"&amp;"!A:A"),"总价",INDIRECT("'"&amp;AN6&amp;"'"&amp;"!B:B"))</f>
        <v>#REF!</v>
      </c>
      <c r="AP6" s="1713">
        <f>IF(C6="住宅",K6*L6,0)</f>
        <v>404908595.00000012</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t="str">
        <f>'数据-汇总表'!C20</f>
        <v>仓储</v>
      </c>
      <c r="B7" s="1710" t="str">
        <f t="shared" ref="B7:B13" si="1">IF(A7=0,"","经营性")</f>
        <v>经营性</v>
      </c>
      <c r="C7" s="1711" t="s">
        <v>3327</v>
      </c>
      <c r="D7" s="856">
        <f>SUMIF(项目基本情况!C$12:I$12,C7,项目基本情况!C$14:I$14)</f>
        <v>50</v>
      </c>
      <c r="E7" s="855">
        <f>IF(B7="","",SUMIF(项目基本情况!C$12:I$12,C7,项目基本情况!C$13:I$13))</f>
        <v>63353</v>
      </c>
      <c r="F7" s="64">
        <f>SUMIF(项目基本情况!C$12:I$12,C7,项目基本情况!C$15:I$15)</f>
        <v>48.7</v>
      </c>
      <c r="G7" s="65">
        <f t="shared" ref="G7:G11" si="2">IF(ISERROR(ROUND(POWER(1+H7,D7-F7)*(POWER(1+H7,F7)-1)/(POWER(1+H7,D7)-1),3)),0,ROUND(POWER(1+H7,D7-F7)*(POWER(1+H7,F7)-1)/(POWER(1+H7,D7)-1),3))</f>
        <v>0.99299999999999999</v>
      </c>
      <c r="H7" s="730">
        <v>4.4999999999999998E-2</v>
      </c>
      <c r="I7" s="730">
        <v>0.05</v>
      </c>
      <c r="J7" s="66">
        <v>7.0000000000000007E-2</v>
      </c>
      <c r="K7" s="1028">
        <f>SUMIF('数据-汇总表'!C$19:C$33,A7,'数据-汇总表'!E$19:E$33)</f>
        <v>21052.319999999996</v>
      </c>
      <c r="L7" s="731">
        <v>6500</v>
      </c>
      <c r="M7" s="67">
        <f t="shared" si="0"/>
        <v>13684</v>
      </c>
      <c r="N7" s="729">
        <v>0</v>
      </c>
      <c r="O7" s="67">
        <f t="shared" ref="O7:O14" si="3">IF($N$5="成新度","——",ROUND(M7*N7,0))</f>
        <v>0</v>
      </c>
      <c r="P7" s="68">
        <f t="shared" ref="P7:P14" si="4">IF($N$5="成新度","——",M7-O7)</f>
        <v>13684</v>
      </c>
      <c r="Q7" s="732">
        <v>0.1</v>
      </c>
      <c r="R7" s="69">
        <f ca="1">SUMIF('数据-汇总表'!C$19:C$33,A7,'数据-汇总表'!R$19:R$27)</f>
        <v>10798.89</v>
      </c>
      <c r="S7" s="51">
        <f>IF('数据-汇总表'!$I$17="按面积比例",SUMIF('数据-汇总表'!C$19:C$33,A7,'数据-汇总表'!K$19:K$33),SUMIF('数据-汇总表'!C$19:C$33,A7,'数据-汇总表'!N$19:N$33))</f>
        <v>0</v>
      </c>
      <c r="T7" s="1170">
        <f t="shared" ref="T7:T13" si="5">ROUND($L$14*S7/10000,0)</f>
        <v>0</v>
      </c>
      <c r="U7" s="3419"/>
      <c r="V7" s="70"/>
      <c r="W7" s="70"/>
      <c r="X7" s="1038"/>
      <c r="Y7" s="71"/>
      <c r="Z7" s="72"/>
      <c r="AA7" s="66"/>
      <c r="AB7" s="66"/>
      <c r="AC7" s="1038"/>
      <c r="AD7" s="73"/>
      <c r="AE7" s="1039">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t="str">
        <f>'数据-汇总表'!C21</f>
        <v>车库</v>
      </c>
      <c r="B8" s="1710" t="str">
        <f t="shared" si="1"/>
        <v>经营性</v>
      </c>
      <c r="C8" s="1711" t="s">
        <v>3326</v>
      </c>
      <c r="D8" s="856">
        <f>SUMIF(项目基本情况!C$12:I$12,C8,项目基本情况!C$14:I$14)</f>
        <v>50</v>
      </c>
      <c r="E8" s="855">
        <f>IF(B8="","",SUMIF(项目基本情况!C$12:I$12,C8,项目基本情况!C$13:I$13))</f>
        <v>63353</v>
      </c>
      <c r="F8" s="64">
        <f>SUMIF(项目基本情况!C$12:I$12,C8,项目基本情况!C$15:I$15)</f>
        <v>48.7</v>
      </c>
      <c r="G8" s="65">
        <f t="shared" si="2"/>
        <v>0.99299999999999999</v>
      </c>
      <c r="H8" s="730">
        <v>4.4999999999999998E-2</v>
      </c>
      <c r="I8" s="730">
        <v>0.05</v>
      </c>
      <c r="J8" s="66">
        <v>7.0000000000000007E-2</v>
      </c>
      <c r="K8" s="1028">
        <f>SUMIF('数据-汇总表'!C$19:C$33,A8,'数据-汇总表'!E$19:E$33)</f>
        <v>21761.329999999823</v>
      </c>
      <c r="L8" s="731">
        <v>5500</v>
      </c>
      <c r="M8" s="67">
        <f>ROUND(K8*L8/10000,0)</f>
        <v>11969</v>
      </c>
      <c r="N8" s="729">
        <v>0</v>
      </c>
      <c r="O8" s="67">
        <f t="shared" si="3"/>
        <v>0</v>
      </c>
      <c r="P8" s="68">
        <f t="shared" si="4"/>
        <v>11969</v>
      </c>
      <c r="Q8" s="732">
        <v>0.08</v>
      </c>
      <c r="R8" s="69">
        <f ca="1">SUMIF('数据-汇总表'!C$19:C$33,A8,'数据-汇总表'!R$19:R$27)</f>
        <v>11162.58</v>
      </c>
      <c r="S8" s="51">
        <f>IF('数据-汇总表'!$I$17="按面积比例",SUMIF('数据-汇总表'!C$19:C$33,A8,'数据-汇总表'!K$19:K$33),SUMIF('数据-汇总表'!C$19:C$33,A8,'数据-汇总表'!N$19:N$33))</f>
        <v>0</v>
      </c>
      <c r="T8" s="1170">
        <f t="shared" si="5"/>
        <v>0</v>
      </c>
      <c r="U8" s="3420"/>
      <c r="V8" s="733"/>
      <c r="W8" s="733"/>
      <c r="X8" s="1038"/>
      <c r="Y8" s="71"/>
      <c r="Z8" s="72"/>
      <c r="AA8" s="66"/>
      <c r="AB8" s="66"/>
      <c r="AC8" s="1038"/>
      <c r="AD8" s="73"/>
      <c r="AE8" s="1039">
        <f t="shared" ca="1" si="6"/>
        <v>0</v>
      </c>
      <c r="AF8" s="1345"/>
      <c r="AG8" s="138">
        <f t="shared" si="7"/>
        <v>0</v>
      </c>
      <c r="AH8" s="734">
        <f>未售清单!W618</f>
        <v>580</v>
      </c>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0">
        <f t="shared" si="5"/>
        <v>0</v>
      </c>
      <c r="U9" s="3419"/>
      <c r="V9" s="70"/>
      <c r="W9" s="70"/>
      <c r="X9" s="1038"/>
      <c r="Y9" s="71"/>
      <c r="Z9" s="72"/>
      <c r="AA9" s="66"/>
      <c r="AB9" s="66"/>
      <c r="AC9" s="1038"/>
      <c r="AD9" s="73"/>
      <c r="AE9" s="1039">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19"/>
      <c r="V10" s="70"/>
      <c r="W10" s="70"/>
      <c r="X10" s="1038"/>
      <c r="Y10" s="71"/>
      <c r="Z10" s="72"/>
      <c r="AA10" s="66"/>
      <c r="AB10" s="66"/>
      <c r="AC10" s="1038"/>
      <c r="AD10" s="73"/>
      <c r="AE10" s="1039">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19"/>
      <c r="V11" s="66"/>
      <c r="W11" s="66"/>
      <c r="X11" s="1038"/>
      <c r="Y11" s="71"/>
      <c r="Z11" s="84"/>
      <c r="AA11" s="66"/>
      <c r="AB11" s="66"/>
      <c r="AC11" s="1038"/>
      <c r="AD11" s="73"/>
      <c r="AE11" s="1039">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19"/>
      <c r="V12" s="66"/>
      <c r="W12" s="66"/>
      <c r="X12" s="1038"/>
      <c r="Y12" s="71"/>
      <c r="Z12" s="84"/>
      <c r="AA12" s="66"/>
      <c r="AB12" s="66"/>
      <c r="AC12" s="1038"/>
      <c r="AD12" s="73"/>
      <c r="AE12" s="1039">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1"/>
      <c r="V13" s="70"/>
      <c r="W13" s="70"/>
      <c r="X13" s="1038"/>
      <c r="Y13" s="71"/>
      <c r="Z13" s="72"/>
      <c r="AA13" s="66"/>
      <c r="AB13" s="66"/>
      <c r="AC13" s="1038"/>
      <c r="AD13" s="73"/>
      <c r="AE13" s="1039">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1203</v>
      </c>
      <c r="B14" s="1710" t="s">
        <v>1204</v>
      </c>
      <c r="C14" s="1715" t="s">
        <v>1203</v>
      </c>
      <c r="D14" s="856"/>
      <c r="E14" s="855"/>
      <c r="F14" s="64"/>
      <c r="G14" s="65"/>
      <c r="H14" s="1027"/>
      <c r="I14" s="1027"/>
      <c r="J14" s="1027"/>
      <c r="K14" s="1028">
        <f>SUMIF('数据-汇总表'!C$19:C$33,A14,'数据-汇总表'!E$19:E$33)</f>
        <v>0</v>
      </c>
      <c r="L14" s="82"/>
      <c r="M14" s="67">
        <f t="shared" si="0"/>
        <v>0</v>
      </c>
      <c r="N14" s="83"/>
      <c r="O14" s="67">
        <f t="shared" si="3"/>
        <v>0</v>
      </c>
      <c r="P14" s="68">
        <f t="shared" si="4"/>
        <v>0</v>
      </c>
      <c r="Q14" s="1031"/>
      <c r="R14" s="69"/>
      <c r="S14" s="51"/>
      <c r="T14" s="1170"/>
      <c r="U14" s="668"/>
      <c r="V14" s="1033"/>
      <c r="W14" s="1033"/>
      <c r="X14" s="1034"/>
      <c r="Y14" s="1035"/>
      <c r="Z14" s="1036"/>
      <c r="AA14" s="1037"/>
      <c r="AB14" s="1037"/>
      <c r="AC14" s="1038"/>
      <c r="AD14" s="1034"/>
      <c r="AE14" s="1039"/>
      <c r="AF14" s="52"/>
      <c r="AG14" s="138"/>
      <c r="AH14" s="1039"/>
      <c r="AI14" s="1354"/>
      <c r="AJ14" s="702"/>
      <c r="AK14" s="1040"/>
      <c r="AL14" s="1041"/>
      <c r="AM14" s="1042"/>
      <c r="AN14" s="2662"/>
      <c r="AO14" s="2664"/>
      <c r="AP14" s="2664"/>
      <c r="AQ14" s="2664"/>
      <c r="AR14" s="2664"/>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1205</v>
      </c>
      <c r="B15" s="1710" t="s">
        <v>1204</v>
      </c>
      <c r="C15" s="1715" t="s">
        <v>1206</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4"/>
      <c r="AJ15" s="702"/>
      <c r="AK15" s="1040"/>
      <c r="AL15" s="1041"/>
      <c r="AM15" s="1042"/>
      <c r="AN15" s="2662"/>
      <c r="AO15" s="2664"/>
      <c r="AP15" s="2664"/>
      <c r="AQ15" s="2664"/>
      <c r="AR15" s="2664"/>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1207</v>
      </c>
      <c r="B16" s="88"/>
      <c r="C16" s="831"/>
      <c r="D16" s="1717"/>
      <c r="E16" s="88"/>
      <c r="F16" s="88"/>
      <c r="G16" s="89">
        <f>ROUND(SUMPRODUCT(G6:G13,K6:K13)/SUMPRODUCT((G6:G13&gt;0)*(K6:K13)),3)</f>
        <v>0.995</v>
      </c>
      <c r="H16" s="90">
        <f>ROUND(SUMPRODUCT(H6:H13,K6:K13)/SUMPRODUCT((H6:H13&gt;0)*(K6:K13)),3)</f>
        <v>4.2000000000000003E-2</v>
      </c>
      <c r="I16" s="91"/>
      <c r="J16" s="91"/>
      <c r="K16" s="92">
        <f>SUM(K6:K15)</f>
        <v>105107.27999999984</v>
      </c>
      <c r="L16" s="93">
        <f>ROUND(M16*10000/SUM(K6:K14),0)</f>
        <v>6293</v>
      </c>
      <c r="M16" s="93">
        <f>SUM(M6:M14)</f>
        <v>66144</v>
      </c>
      <c r="N16" s="94">
        <f>ROUND(SUMPRODUCT(M6:M14,N6:N14)/M16,3)</f>
        <v>0</v>
      </c>
      <c r="O16" s="93">
        <f>SUM(O6:O14)</f>
        <v>0</v>
      </c>
      <c r="P16" s="93">
        <f>SUM(P6:P14)</f>
        <v>66144</v>
      </c>
      <c r="Q16" s="95">
        <f>ROUND(SUMPRODUCT(Q6:Q13,K6:K13)/SUMPRODUCT((Q6:Q13&gt;0)*(K6:K13)),2)</f>
        <v>0.14000000000000001</v>
      </c>
      <c r="R16" s="1032">
        <f ca="1">SUM(R6:R13)</f>
        <v>53915.28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3"/>
      <c r="C17" s="2662"/>
      <c r="D17" s="2666"/>
      <c r="E17" s="2666"/>
      <c r="F17" s="2662"/>
      <c r="G17" s="2662"/>
      <c r="H17" s="2662"/>
      <c r="I17" s="2662"/>
      <c r="J17" s="2662"/>
      <c r="K17" s="2663"/>
      <c r="L17" s="2663"/>
      <c r="M17" s="3443" t="s">
        <v>3499</v>
      </c>
      <c r="N17" s="3443" t="s">
        <v>3500</v>
      </c>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1208</v>
      </c>
      <c r="B18" s="2676"/>
      <c r="C18" s="2664"/>
      <c r="D18" s="2667"/>
      <c r="E18" s="2664"/>
      <c r="F18" s="2664"/>
      <c r="G18" s="2664"/>
      <c r="H18" s="2664"/>
      <c r="I18" s="2664"/>
      <c r="J18" s="2664"/>
      <c r="K18" s="2663"/>
      <c r="L18" s="2663"/>
      <c r="M18" s="2662"/>
      <c r="N18" s="2662"/>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9" t="s">
        <v>1209</v>
      </c>
      <c r="B19" s="103">
        <v>0</v>
      </c>
      <c r="C19" s="2790" t="s">
        <v>2294</v>
      </c>
      <c r="D19" s="2667"/>
      <c r="E19" s="2664"/>
      <c r="F19" s="2664"/>
      <c r="G19" s="2664"/>
      <c r="H19" s="2664"/>
      <c r="I19" s="2664"/>
      <c r="J19" s="2664"/>
      <c r="K19" s="2663"/>
      <c r="L19" s="2663"/>
      <c r="M19" s="2662"/>
      <c r="N19" s="2662"/>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20" t="s">
        <v>1210</v>
      </c>
      <c r="B20" s="104">
        <v>3</v>
      </c>
      <c r="C20" s="2791" t="s">
        <v>2292</v>
      </c>
      <c r="D20" s="2667"/>
      <c r="E20" s="2664"/>
      <c r="F20" s="2664"/>
      <c r="G20" s="2664"/>
      <c r="H20" s="2664"/>
      <c r="I20" s="2664"/>
      <c r="J20" s="2664"/>
      <c r="K20" s="1472" t="s">
        <v>3838</v>
      </c>
      <c r="L20" s="3457"/>
      <c r="M20" s="3457"/>
      <c r="N20" s="3457"/>
      <c r="O20" s="2662"/>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1" t="s">
        <v>1211</v>
      </c>
      <c r="B21" s="104">
        <v>0</v>
      </c>
      <c r="C21" s="2664"/>
      <c r="D21" s="2667"/>
      <c r="E21" s="2664"/>
      <c r="F21" s="2664"/>
      <c r="G21" s="2664"/>
      <c r="H21" s="2664"/>
      <c r="I21" s="2664"/>
      <c r="J21" s="2664"/>
      <c r="K21" s="3458"/>
      <c r="L21" s="3459" t="s">
        <v>3434</v>
      </c>
      <c r="M21" s="3459" t="s">
        <v>3839</v>
      </c>
      <c r="N21" s="3459" t="s">
        <v>3840</v>
      </c>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c r="AJ21" s="2662"/>
      <c r="AK21" s="2662"/>
      <c r="AL21" s="2662"/>
      <c r="AM21" s="2662"/>
      <c r="AN21" s="2662"/>
      <c r="AO21" s="2662"/>
      <c r="AP21" s="2662"/>
      <c r="AQ21" s="2662"/>
      <c r="AR21" s="2662"/>
    </row>
    <row r="22" spans="1:67" ht="14.25">
      <c r="A22" s="1720" t="s">
        <v>1212</v>
      </c>
      <c r="B22" s="105">
        <f>B19+B20</f>
        <v>3</v>
      </c>
      <c r="C22" s="2664"/>
      <c r="D22" s="2667"/>
      <c r="E22" s="2664"/>
      <c r="F22" s="2664"/>
      <c r="G22" s="2664"/>
      <c r="H22" s="2664"/>
      <c r="I22" s="2664"/>
      <c r="J22" s="2664"/>
      <c r="K22" s="3460" t="s">
        <v>3841</v>
      </c>
      <c r="L22" s="3461">
        <f>L23</f>
        <v>158252.27500000002</v>
      </c>
      <c r="M22" s="3461">
        <f>ROUND(N22*10000/L22,0)</f>
        <v>6219</v>
      </c>
      <c r="N22" s="3461">
        <f>N23+N26+N27+N28</f>
        <v>98417</v>
      </c>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1" t="s">
        <v>1213</v>
      </c>
      <c r="B23" s="105">
        <f>B19+B21</f>
        <v>0</v>
      </c>
      <c r="C23" s="2664"/>
      <c r="D23" s="2667"/>
      <c r="E23" s="2664"/>
      <c r="F23" s="2664"/>
      <c r="G23" s="2664"/>
      <c r="H23" s="2664"/>
      <c r="I23" s="2664"/>
      <c r="J23" s="2664"/>
      <c r="K23" s="3460" t="s">
        <v>3842</v>
      </c>
      <c r="L23" s="3461">
        <f>L24+L25</f>
        <v>158252.27500000002</v>
      </c>
      <c r="M23" s="3461">
        <f>ROUND(N23/L23*10000,0)</f>
        <v>2219</v>
      </c>
      <c r="N23" s="3461">
        <f>N24+N25</f>
        <v>35116</v>
      </c>
      <c r="O23" s="2662"/>
      <c r="P23" s="2662"/>
      <c r="Q23" s="2662"/>
      <c r="R23" s="2662"/>
      <c r="S23" s="2662"/>
      <c r="T23" s="2662"/>
      <c r="U23" s="2662"/>
      <c r="V23" s="2662"/>
      <c r="W23" s="2662"/>
      <c r="X23" s="2662"/>
      <c r="Y23" s="2662"/>
      <c r="Z23" s="2662"/>
      <c r="AA23" s="2662"/>
      <c r="AB23" s="2662"/>
      <c r="AC23" s="2662"/>
      <c r="AD23" s="2662"/>
      <c r="AE23" s="2662"/>
      <c r="AF23" s="2662"/>
      <c r="AG23" s="2662"/>
      <c r="AH23" s="2662"/>
      <c r="AI23" s="2662"/>
      <c r="AJ23" s="2662"/>
      <c r="AK23" s="2662"/>
      <c r="AL23" s="2662"/>
      <c r="AM23" s="2662"/>
      <c r="AN23" s="2662"/>
      <c r="AO23" s="2662"/>
      <c r="AP23" s="2662"/>
      <c r="AQ23" s="2662"/>
      <c r="AR23" s="2662"/>
    </row>
    <row r="24" spans="1:67" ht="15" thickBot="1">
      <c r="A24" s="1722" t="s">
        <v>1214</v>
      </c>
      <c r="B24" s="106">
        <f>B20-B21</f>
        <v>3</v>
      </c>
      <c r="C24" s="2664"/>
      <c r="D24" s="2667"/>
      <c r="E24" s="2664"/>
      <c r="F24" s="2664"/>
      <c r="G24" s="2664"/>
      <c r="H24" s="2664"/>
      <c r="I24" s="2664"/>
      <c r="J24" s="2664"/>
      <c r="K24" s="3459" t="s">
        <v>3402</v>
      </c>
      <c r="L24" s="3462">
        <v>89358.315000000002</v>
      </c>
      <c r="M24" s="3458">
        <v>1000</v>
      </c>
      <c r="N24" s="3458">
        <f>ROUND(M24*L24/10000,0)</f>
        <v>8936</v>
      </c>
      <c r="O24" s="2662"/>
      <c r="P24" s="2662"/>
      <c r="Q24" s="2662"/>
      <c r="R24" s="2662"/>
      <c r="S24" s="2662"/>
      <c r="T24" s="2662"/>
      <c r="U24" s="2662"/>
      <c r="V24" s="2662"/>
      <c r="W24" s="2662"/>
      <c r="X24" s="2662"/>
      <c r="Y24" s="2662"/>
      <c r="Z24" s="2662"/>
      <c r="AA24" s="2662"/>
      <c r="AB24" s="2662"/>
      <c r="AC24" s="2662"/>
      <c r="AD24" s="2662"/>
      <c r="AE24" s="2662"/>
      <c r="AF24" s="2662"/>
      <c r="AG24" s="2662"/>
      <c r="AH24" s="2662"/>
      <c r="AI24" s="2662"/>
      <c r="AJ24" s="2662"/>
      <c r="AK24" s="2662"/>
      <c r="AL24" s="2662"/>
      <c r="AM24" s="2662"/>
      <c r="AN24" s="2662"/>
      <c r="AO24" s="2662"/>
      <c r="AP24" s="2662"/>
      <c r="AQ24" s="2662"/>
      <c r="AR24" s="2662"/>
    </row>
    <row r="25" spans="1:67" ht="15" thickBot="1">
      <c r="A25" s="1554"/>
      <c r="B25" s="1684"/>
      <c r="C25" s="2664"/>
      <c r="D25" s="2667"/>
      <c r="E25" s="2664"/>
      <c r="F25" s="2664"/>
      <c r="G25" s="2664"/>
      <c r="H25" s="2664"/>
      <c r="I25" s="2664"/>
      <c r="J25" s="2664"/>
      <c r="K25" s="3459" t="s">
        <v>3404</v>
      </c>
      <c r="L25" s="3458">
        <v>68893.960000000006</v>
      </c>
      <c r="M25" s="3458">
        <v>3800</v>
      </c>
      <c r="N25" s="3458">
        <f t="shared" ref="N25:N29" si="12">ROUND(M25*L25/10000,0)</f>
        <v>26180</v>
      </c>
      <c r="O25" s="2662"/>
      <c r="P25" s="2662"/>
      <c r="Q25" s="2662"/>
      <c r="R25" s="2662"/>
      <c r="S25" s="2662"/>
      <c r="T25" s="2662"/>
      <c r="U25" s="2662"/>
      <c r="V25" s="2662"/>
      <c r="W25" s="2662"/>
      <c r="X25" s="2662"/>
      <c r="Y25" s="2662"/>
      <c r="Z25" s="2662"/>
      <c r="AA25" s="2662"/>
      <c r="AB25" s="2662"/>
      <c r="AC25" s="2662"/>
      <c r="AD25" s="2662"/>
      <c r="AE25" s="2662"/>
      <c r="AF25" s="2662"/>
      <c r="AG25" s="2662"/>
      <c r="AH25" s="2662"/>
      <c r="AI25" s="2662"/>
      <c r="AJ25" s="2662"/>
      <c r="AK25" s="2662"/>
      <c r="AL25" s="2662"/>
      <c r="AM25" s="2662"/>
      <c r="AN25" s="2662"/>
      <c r="AO25" s="2662"/>
      <c r="AP25" s="2662"/>
      <c r="AQ25" s="2662"/>
      <c r="AR25" s="2662"/>
    </row>
    <row r="26" spans="1:67" ht="15" thickBot="1">
      <c r="A26" s="1680" t="s">
        <v>1215</v>
      </c>
      <c r="B26" s="1723" t="s">
        <v>1216</v>
      </c>
      <c r="C26" s="2668" t="s">
        <v>1217</v>
      </c>
      <c r="D26" s="2667"/>
      <c r="E26" s="2664"/>
      <c r="F26" s="2664"/>
      <c r="G26" s="2664"/>
      <c r="H26" s="2664"/>
      <c r="I26" s="2664"/>
      <c r="J26" s="2664"/>
      <c r="K26" s="3460" t="s">
        <v>3843</v>
      </c>
      <c r="L26" s="3461">
        <f>L23</f>
        <v>158252.27500000002</v>
      </c>
      <c r="M26" s="3461">
        <v>500</v>
      </c>
      <c r="N26" s="3458">
        <f t="shared" si="12"/>
        <v>7913</v>
      </c>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5" customFormat="1" ht="27.75">
      <c r="A27" s="1724" t="s">
        <v>1218</v>
      </c>
      <c r="B27" s="107">
        <v>160</v>
      </c>
      <c r="C27" s="2792" t="s">
        <v>2296</v>
      </c>
      <c r="D27" s="2670"/>
      <c r="E27" s="2652"/>
      <c r="F27" s="2652"/>
      <c r="G27" s="2664"/>
      <c r="H27" s="2664"/>
      <c r="I27" s="2664"/>
      <c r="J27" s="2664"/>
      <c r="K27" s="3460" t="s">
        <v>3844</v>
      </c>
      <c r="L27" s="3461">
        <f>L26</f>
        <v>158252.27500000002</v>
      </c>
      <c r="M27" s="3461">
        <v>2000</v>
      </c>
      <c r="N27" s="3458">
        <f t="shared" si="12"/>
        <v>31650</v>
      </c>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1219</v>
      </c>
      <c r="B28" s="110">
        <v>200</v>
      </c>
      <c r="C28" s="2671"/>
      <c r="D28" s="2670"/>
      <c r="E28" s="2652"/>
      <c r="F28" s="2652"/>
      <c r="G28" s="2664"/>
      <c r="H28" s="2664"/>
      <c r="I28" s="2664"/>
      <c r="J28" s="2664"/>
      <c r="K28" s="3460" t="s">
        <v>3845</v>
      </c>
      <c r="L28" s="3461">
        <f>L27</f>
        <v>158252.27500000002</v>
      </c>
      <c r="M28" s="3461">
        <v>1500</v>
      </c>
      <c r="N28" s="3458">
        <f t="shared" si="12"/>
        <v>23738</v>
      </c>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1220</v>
      </c>
      <c r="B29" s="112">
        <v>0</v>
      </c>
      <c r="C29" s="2793" t="s">
        <v>2285</v>
      </c>
      <c r="D29" s="2670"/>
      <c r="E29" s="2652"/>
      <c r="F29" s="2652"/>
      <c r="G29" s="2664"/>
      <c r="H29" s="2664"/>
      <c r="I29" s="2664"/>
      <c r="J29" s="2664"/>
      <c r="K29" s="3460" t="s">
        <v>3846</v>
      </c>
      <c r="L29" s="3464">
        <v>8130.7</v>
      </c>
      <c r="M29" s="3464">
        <f>M22</f>
        <v>6219</v>
      </c>
      <c r="N29" s="3458">
        <f t="shared" si="12"/>
        <v>5056</v>
      </c>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1221</v>
      </c>
      <c r="B30" s="669">
        <v>180</v>
      </c>
      <c r="C30" s="2671"/>
      <c r="D30" s="2670"/>
      <c r="E30" s="2652"/>
      <c r="F30" s="2652"/>
      <c r="G30" s="2664"/>
      <c r="H30" s="2664"/>
      <c r="I30" s="2664"/>
      <c r="J30" s="2664"/>
      <c r="K30" s="3460"/>
      <c r="L30" s="3463"/>
      <c r="M30" s="3458"/>
      <c r="N30" s="3458"/>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1222</v>
      </c>
      <c r="B31" s="111">
        <f>B30-B32</f>
        <v>180</v>
      </c>
      <c r="C31" s="2669"/>
      <c r="D31" s="2670"/>
      <c r="E31" s="2652"/>
      <c r="F31" s="2652"/>
      <c r="G31" s="2664"/>
      <c r="H31" s="2664"/>
      <c r="I31" s="2664"/>
      <c r="J31" s="2664"/>
      <c r="K31" s="3459" t="s">
        <v>3847</v>
      </c>
      <c r="L31" s="3458">
        <f>L23</f>
        <v>158252.27500000002</v>
      </c>
      <c r="M31" s="3458">
        <f>ROUND(N31/L31*10000,0)</f>
        <v>6538</v>
      </c>
      <c r="N31" s="3458">
        <f>N30+N29+N22</f>
        <v>103473</v>
      </c>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1223</v>
      </c>
      <c r="B32" s="670">
        <v>0</v>
      </c>
      <c r="C32" s="2671"/>
      <c r="D32" s="2667"/>
      <c r="E32" s="2664"/>
      <c r="F32" s="2664"/>
      <c r="G32" s="2664"/>
      <c r="H32" s="2664"/>
      <c r="I32" s="2664"/>
      <c r="J32" s="2664"/>
      <c r="K32" s="2663"/>
      <c r="L32" s="2663"/>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1224</v>
      </c>
      <c r="B33" s="671">
        <v>0.05</v>
      </c>
      <c r="C33" s="2794" t="s">
        <v>3372</v>
      </c>
      <c r="D33" s="2667"/>
      <c r="E33" s="2664"/>
      <c r="F33" s="2664"/>
      <c r="G33" s="2664"/>
      <c r="H33" s="2664"/>
      <c r="I33" s="2664"/>
      <c r="J33" s="2664"/>
      <c r="K33" s="2663"/>
      <c r="L33" s="2663"/>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1225</v>
      </c>
      <c r="B34" s="113">
        <v>0.03</v>
      </c>
      <c r="C34" s="2794" t="s">
        <v>2286</v>
      </c>
      <c r="D34" s="2675" t="s">
        <v>2293</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1226</v>
      </c>
      <c r="B35" s="110">
        <f>B30</f>
        <v>180</v>
      </c>
      <c r="C35" s="2794" t="s">
        <v>2287</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1227</v>
      </c>
      <c r="B36" s="114">
        <v>0.02</v>
      </c>
      <c r="C36" s="2794" t="s">
        <v>3373</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8" t="s">
        <v>1228</v>
      </c>
      <c r="B37" s="115">
        <v>0.03</v>
      </c>
      <c r="C37" s="2794" t="s">
        <v>2288</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6" t="s">
        <v>1229</v>
      </c>
      <c r="B38" s="113">
        <v>0.03</v>
      </c>
      <c r="C38" s="2794" t="s">
        <v>2288</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9" t="s">
        <v>1230</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15" thickBot="1">
      <c r="A40" s="2806" t="s">
        <v>2303</v>
      </c>
      <c r="B40" s="1076">
        <f ca="1">IF(A40="利息：取LPR",存贷款利率!G1,存贷款利率!G1+C40)</f>
        <v>3.3500000000000002E-2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4" t="s">
        <v>1231</v>
      </c>
      <c r="B41" s="116">
        <f>B42+B43</f>
        <v>5.6000000000000001E-2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30" t="s">
        <v>1232</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30" t="s">
        <v>1233</v>
      </c>
      <c r="B43" s="118">
        <f>B42*(B44+B45+B46)+B47</f>
        <v>6.000000000000001E-3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1" t="s">
        <v>1234</v>
      </c>
      <c r="B44" s="119">
        <v>7.0000000000000007E-2</v>
      </c>
      <c r="C44" s="2794" t="s">
        <v>2297</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1" t="s">
        <v>1235</v>
      </c>
      <c r="B45" s="117">
        <v>0.03</v>
      </c>
      <c r="C45" s="2793" t="s">
        <v>2289</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1" t="s">
        <v>1236</v>
      </c>
      <c r="B46" s="117">
        <v>0.02</v>
      </c>
      <c r="C46" s="2793" t="s">
        <v>2290</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2" t="s">
        <v>1237</v>
      </c>
      <c r="B47" s="120">
        <v>0</v>
      </c>
      <c r="C47" s="2796" t="s">
        <v>2298</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3" t="s">
        <v>1238</v>
      </c>
      <c r="B48" s="121">
        <v>0.03</v>
      </c>
      <c r="C48" s="2793" t="s">
        <v>2289</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9" t="s">
        <v>1239</v>
      </c>
      <c r="B49" s="117">
        <v>5.0000000000000001E-4</v>
      </c>
      <c r="C49" s="2793" t="s">
        <v>2291</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4" t="s">
        <v>1240</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7" t="s">
        <v>1241</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4" t="s">
        <v>1242</v>
      </c>
      <c r="B52" s="124">
        <f>SUMIF(A54:A63,B53,B54:B63)</f>
        <v>1.5</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6" t="s">
        <v>1243</v>
      </c>
      <c r="B53" s="1735" t="s">
        <v>29</v>
      </c>
      <c r="C53" s="2652" t="s">
        <v>1244</v>
      </c>
      <c r="D53" s="2795" t="s">
        <v>2295</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6" t="s">
        <v>1245</v>
      </c>
      <c r="B54" s="75"/>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6" t="s">
        <v>1246</v>
      </c>
      <c r="B55" s="75"/>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6" t="s">
        <v>1247</v>
      </c>
      <c r="B56" s="75"/>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6" t="s">
        <v>1248</v>
      </c>
      <c r="B57" s="75"/>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6" t="s">
        <v>1249</v>
      </c>
      <c r="B58" s="75"/>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6" t="s">
        <v>1250</v>
      </c>
      <c r="B59" s="75">
        <f>C59</f>
        <v>1.5</v>
      </c>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6" t="s">
        <v>1251</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6" t="s">
        <v>1252</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6" t="s">
        <v>1253</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7" t="s">
        <v>1254</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91"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91"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91"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91"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91"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3" sqref="C13"/>
    </sheetView>
  </sheetViews>
  <sheetFormatPr defaultColWidth="9" defaultRowHeight="14.25"/>
  <cols>
    <col min="1" max="1" width="9.5" style="1683" customWidth="1"/>
    <col min="2" max="2" width="24.5" style="1569" customWidth="1"/>
    <col min="3" max="3" width="24.5" style="2501" customWidth="1"/>
    <col min="4" max="4" width="2.625" style="2501" customWidth="1"/>
    <col min="5" max="5" width="5.875" style="2501" customWidth="1"/>
    <col min="6" max="6" width="27" style="1569"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7"/>
    <col min="30" max="16384" width="9" style="1683"/>
  </cols>
  <sheetData>
    <row r="1" spans="1:29" s="2450" customFormat="1" ht="18.75" thickBot="1">
      <c r="A1" s="3560" t="s">
        <v>2277</v>
      </c>
      <c r="B1" s="3561"/>
      <c r="C1" s="3561"/>
      <c r="D1" s="3561"/>
      <c r="E1" s="3561"/>
      <c r="F1" s="3561"/>
      <c r="G1" s="3561"/>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2273</v>
      </c>
      <c r="D2" s="2454"/>
      <c r="E2" s="2451"/>
      <c r="F2" s="2455"/>
      <c r="G2" s="2453" t="s">
        <v>2274</v>
      </c>
      <c r="H2" s="797"/>
      <c r="I2" s="797"/>
      <c r="J2" s="797"/>
      <c r="K2" s="797"/>
      <c r="L2" s="797"/>
      <c r="M2" s="797"/>
      <c r="N2" s="797"/>
      <c r="O2" s="797"/>
      <c r="P2" s="797"/>
      <c r="Q2" s="797"/>
      <c r="R2" s="797"/>
    </row>
    <row r="3" spans="1:29" ht="25.5">
      <c r="A3" s="2434" t="s">
        <v>2275</v>
      </c>
      <c r="B3" s="2456" t="s">
        <v>2247</v>
      </c>
      <c r="C3" s="3444" t="s">
        <v>3502</v>
      </c>
      <c r="D3" s="2457"/>
      <c r="E3" s="2435" t="s">
        <v>2275</v>
      </c>
      <c r="F3" s="2458" t="s">
        <v>2248</v>
      </c>
      <c r="G3" s="2459" t="s">
        <v>2276</v>
      </c>
      <c r="H3" s="797"/>
      <c r="I3" s="797"/>
      <c r="J3" s="797"/>
      <c r="K3" s="797"/>
      <c r="L3" s="797"/>
      <c r="M3" s="797"/>
      <c r="N3" s="797"/>
      <c r="O3" s="797"/>
      <c r="P3" s="797"/>
      <c r="Q3" s="797"/>
      <c r="R3" s="797"/>
    </row>
    <row r="4" spans="1:29" ht="36">
      <c r="A4" s="2435"/>
      <c r="B4" s="323" t="s">
        <v>2249</v>
      </c>
      <c r="C4" s="3445" t="s">
        <v>3504</v>
      </c>
      <c r="D4" s="2457"/>
      <c r="E4" s="2460"/>
      <c r="F4" s="1370" t="s">
        <v>2250</v>
      </c>
      <c r="G4" s="2461" t="s">
        <v>2251</v>
      </c>
      <c r="H4" s="797"/>
      <c r="I4" s="797"/>
      <c r="J4" s="797"/>
      <c r="K4" s="797"/>
      <c r="L4" s="797"/>
      <c r="M4" s="797"/>
      <c r="N4" s="797"/>
      <c r="O4" s="797"/>
      <c r="P4" s="797"/>
      <c r="Q4" s="797"/>
      <c r="R4" s="797"/>
    </row>
    <row r="5" spans="1:29" ht="24">
      <c r="A5" s="2435"/>
      <c r="B5" s="323" t="s">
        <v>2252</v>
      </c>
      <c r="C5" s="3445" t="s">
        <v>3504</v>
      </c>
      <c r="D5" s="2457"/>
      <c r="E5" s="2460"/>
      <c r="F5" s="323" t="s">
        <v>2253</v>
      </c>
      <c r="G5" s="2461" t="s">
        <v>2254</v>
      </c>
      <c r="H5" s="797"/>
      <c r="I5" s="797"/>
      <c r="J5" s="797"/>
      <c r="K5" s="797"/>
      <c r="L5" s="797"/>
      <c r="M5" s="797"/>
      <c r="N5" s="797"/>
      <c r="O5" s="797"/>
      <c r="P5" s="797"/>
      <c r="Q5" s="797"/>
      <c r="R5" s="797"/>
    </row>
    <row r="6" spans="1:29">
      <c r="A6" s="2435"/>
      <c r="B6" s="323" t="s">
        <v>2255</v>
      </c>
      <c r="C6" s="3446" t="s">
        <v>3505</v>
      </c>
      <c r="D6" s="2457"/>
      <c r="E6" s="2460"/>
      <c r="F6" s="323" t="s">
        <v>2256</v>
      </c>
      <c r="G6" s="2461" t="s">
        <v>2257</v>
      </c>
      <c r="H6" s="797"/>
      <c r="I6" s="797"/>
      <c r="J6" s="797"/>
      <c r="K6" s="797"/>
      <c r="L6" s="797"/>
      <c r="M6" s="797"/>
      <c r="N6" s="797"/>
      <c r="O6" s="797"/>
      <c r="P6" s="797"/>
      <c r="Q6" s="797"/>
      <c r="R6" s="797"/>
    </row>
    <row r="7" spans="1:29" ht="24.75" thickBot="1">
      <c r="A7" s="2435"/>
      <c r="B7" s="323" t="s">
        <v>2253</v>
      </c>
      <c r="C7" s="3446" t="s">
        <v>3506</v>
      </c>
      <c r="D7" s="2462"/>
      <c r="E7" s="2463"/>
      <c r="F7" s="2464" t="s">
        <v>2258</v>
      </c>
      <c r="G7" s="2465" t="s">
        <v>2259</v>
      </c>
      <c r="H7" s="797"/>
      <c r="I7" s="797"/>
      <c r="J7" s="797"/>
      <c r="K7" s="797"/>
      <c r="L7" s="797"/>
      <c r="M7" s="797"/>
      <c r="N7" s="797"/>
      <c r="O7" s="797"/>
      <c r="P7" s="797"/>
      <c r="Q7" s="797"/>
      <c r="R7" s="797"/>
    </row>
    <row r="8" spans="1:29">
      <c r="A8" s="2435"/>
      <c r="B8" s="323" t="s">
        <v>2256</v>
      </c>
      <c r="C8" s="3446" t="s">
        <v>3508</v>
      </c>
      <c r="D8" s="2462"/>
      <c r="E8" s="2462"/>
      <c r="F8" s="2466"/>
      <c r="G8" s="2466"/>
      <c r="H8" s="797"/>
      <c r="I8" s="797"/>
      <c r="J8" s="797"/>
      <c r="K8" s="797"/>
      <c r="L8" s="797"/>
      <c r="M8" s="797"/>
      <c r="N8" s="797"/>
      <c r="O8" s="797"/>
      <c r="P8" s="797"/>
      <c r="Q8" s="797"/>
      <c r="R8" s="797"/>
    </row>
    <row r="9" spans="1:29">
      <c r="A9" s="2435"/>
      <c r="B9" s="323" t="s">
        <v>2260</v>
      </c>
      <c r="C9" s="3445" t="s">
        <v>3509</v>
      </c>
      <c r="D9" s="2457"/>
      <c r="E9" s="2462"/>
      <c r="F9" s="2466"/>
      <c r="G9" s="2466"/>
      <c r="H9" s="797"/>
      <c r="I9" s="797"/>
      <c r="J9" s="797"/>
      <c r="K9" s="797"/>
      <c r="L9" s="797"/>
      <c r="M9" s="797"/>
      <c r="N9" s="797"/>
      <c r="O9" s="797"/>
      <c r="P9" s="797"/>
      <c r="Q9" s="797"/>
      <c r="R9" s="797"/>
    </row>
    <row r="10" spans="1:29" s="2472" customFormat="1" ht="15" thickBot="1">
      <c r="A10" s="2436"/>
      <c r="B10" s="2467" t="s">
        <v>2261</v>
      </c>
      <c r="C10" s="2468"/>
      <c r="D10" s="2457"/>
      <c r="E10" s="2457"/>
      <c r="F10" s="2466"/>
      <c r="G10" s="2466"/>
      <c r="H10" s="2469"/>
      <c r="I10" s="2470"/>
      <c r="J10" s="2471"/>
      <c r="K10" s="2469"/>
      <c r="L10" s="2470"/>
      <c r="M10" s="2471"/>
      <c r="N10" s="2469"/>
      <c r="O10" s="2470"/>
      <c r="P10" s="2471"/>
      <c r="Q10" s="2469"/>
      <c r="R10" s="2470"/>
      <c r="S10" s="797"/>
      <c r="T10" s="797"/>
      <c r="U10" s="797"/>
      <c r="V10" s="797"/>
      <c r="W10" s="797"/>
      <c r="X10" s="797"/>
      <c r="Y10" s="797"/>
      <c r="Z10" s="797"/>
      <c r="AA10" s="797"/>
      <c r="AB10" s="797"/>
      <c r="AC10" s="797"/>
    </row>
    <row r="11" spans="1:29" s="2472" customFormat="1">
      <c r="A11" s="2473"/>
      <c r="B11" s="2462"/>
      <c r="C11" s="2457"/>
      <c r="D11" s="2457"/>
      <c r="E11" s="2457"/>
      <c r="F11" s="2462"/>
      <c r="G11" s="2474"/>
      <c r="H11" s="2469"/>
      <c r="I11" s="2470"/>
      <c r="J11" s="2471"/>
      <c r="K11" s="2469"/>
      <c r="L11" s="2470"/>
      <c r="M11" s="2471"/>
      <c r="N11" s="2469"/>
      <c r="O11" s="2470"/>
      <c r="P11" s="2471"/>
      <c r="Q11" s="2469"/>
      <c r="R11" s="2470"/>
      <c r="S11" s="797"/>
      <c r="T11" s="797"/>
      <c r="U11" s="797"/>
      <c r="V11" s="797"/>
      <c r="W11" s="797"/>
      <c r="X11" s="797"/>
      <c r="Y11" s="797"/>
      <c r="Z11" s="797"/>
      <c r="AA11" s="797"/>
      <c r="AB11" s="797"/>
      <c r="AC11" s="797"/>
    </row>
    <row r="12" spans="1:29" s="2450" customFormat="1" ht="18">
      <c r="A12" s="2473"/>
      <c r="B12" s="2462"/>
      <c r="C12" s="2457"/>
      <c r="D12" s="2475"/>
      <c r="E12" s="2457"/>
      <c r="F12" s="2462"/>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75" thickBot="1">
      <c r="A13" s="2481" t="s">
        <v>2278</v>
      </c>
      <c r="B13" s="2475"/>
      <c r="C13" s="2475"/>
      <c r="D13" s="2473"/>
      <c r="E13" s="2475"/>
      <c r="F13" s="2475"/>
      <c r="G13" s="2475"/>
    </row>
    <row r="14" spans="1:29" ht="15" thickBot="1">
      <c r="A14" s="2485"/>
      <c r="B14" s="2485"/>
      <c r="C14" s="2486" t="s">
        <v>2262</v>
      </c>
      <c r="D14" s="2457"/>
      <c r="E14" s="2487"/>
      <c r="F14" s="2487"/>
      <c r="G14" s="2453" t="s">
        <v>2263</v>
      </c>
    </row>
    <row r="15" spans="1:29" ht="25.5">
      <c r="A15" s="2437" t="s">
        <v>2264</v>
      </c>
      <c r="B15" s="2488" t="s">
        <v>2247</v>
      </c>
      <c r="C15" s="2489" t="str">
        <f>C3</f>
        <v>较好</v>
      </c>
      <c r="D15" s="2457"/>
      <c r="E15" s="2438" t="s">
        <v>2265</v>
      </c>
      <c r="F15" s="2488" t="s">
        <v>2266</v>
      </c>
      <c r="G15" s="2490" t="str">
        <f>G3</f>
        <v>估价对象位于XX开发区，园区建设成熟度XX，产业集聚程度XX</v>
      </c>
    </row>
    <row r="16" spans="1:29" ht="38.25">
      <c r="A16" s="2439"/>
      <c r="B16" s="2491" t="s">
        <v>2249</v>
      </c>
      <c r="C16" s="2492" t="str">
        <f>C4</f>
        <v>一般</v>
      </c>
      <c r="D16" s="2457"/>
      <c r="E16" s="2440"/>
      <c r="F16" s="2493" t="s">
        <v>2250</v>
      </c>
      <c r="G16" s="2494" t="str">
        <f>G4</f>
        <v>估价对象周边道路状况、公共交通通达情况、停车便捷程度，综合评价交通便捷度较好</v>
      </c>
    </row>
    <row r="17" spans="1:18">
      <c r="A17" s="2439"/>
      <c r="B17" s="2491" t="s">
        <v>2252</v>
      </c>
      <c r="C17" s="2492" t="str">
        <f>C5</f>
        <v>一般</v>
      </c>
      <c r="D17" s="2462"/>
      <c r="E17" s="2440"/>
      <c r="F17" s="2493" t="s">
        <v>2267</v>
      </c>
      <c r="G17" s="2495"/>
    </row>
    <row r="18" spans="1:18" ht="25.5">
      <c r="A18" s="2439"/>
      <c r="B18" s="2493" t="s">
        <v>2255</v>
      </c>
      <c r="C18" s="2494" t="str">
        <f>C6</f>
        <v>一般</v>
      </c>
      <c r="D18" s="2462"/>
      <c r="E18" s="2440"/>
      <c r="F18" s="2493" t="s">
        <v>2258</v>
      </c>
      <c r="G18" s="2494" t="str">
        <f>G7</f>
        <v>该园区内是否有污染型企业，绿化情况，卫生条件，整体环境状况判断</v>
      </c>
    </row>
    <row r="19" spans="1:18" ht="25.5">
      <c r="A19" s="2439"/>
      <c r="B19" s="2493" t="s">
        <v>2268</v>
      </c>
      <c r="C19" s="2495"/>
      <c r="D19" s="2457"/>
      <c r="E19" s="2440"/>
      <c r="F19" s="323" t="s">
        <v>2253</v>
      </c>
      <c r="G19" s="2494" t="str">
        <f>G5</f>
        <v>估价对象所在区域公共配套设施齐备情况</v>
      </c>
    </row>
    <row r="20" spans="1:18">
      <c r="A20" s="2439"/>
      <c r="B20" s="2493" t="s">
        <v>2269</v>
      </c>
      <c r="C20" s="2492" t="str">
        <f>C9</f>
        <v>较好</v>
      </c>
      <c r="D20" s="2462"/>
      <c r="E20" s="2440"/>
      <c r="F20" s="323" t="s">
        <v>2256</v>
      </c>
      <c r="G20" s="2494" t="str">
        <f>G6</f>
        <v>估价对象所在区域基础设施水平</v>
      </c>
    </row>
    <row r="21" spans="1:18">
      <c r="A21" s="2439"/>
      <c r="B21" s="323" t="s">
        <v>2253</v>
      </c>
      <c r="C21" s="2494" t="str">
        <f>C7</f>
        <v>一般</v>
      </c>
      <c r="D21" s="2457"/>
      <c r="E21" s="2440"/>
      <c r="F21" s="2493" t="s">
        <v>2270</v>
      </c>
      <c r="G21" s="2496"/>
    </row>
    <row r="22" spans="1:18" ht="13.5" customHeight="1">
      <c r="A22" s="2439"/>
      <c r="B22" s="323" t="s">
        <v>2256</v>
      </c>
      <c r="C22" s="2494" t="str">
        <f>C8</f>
        <v>六通</v>
      </c>
      <c r="D22" s="2457"/>
      <c r="E22" s="2440"/>
      <c r="F22" s="2493" t="s">
        <v>2261</v>
      </c>
      <c r="G22" s="2495"/>
    </row>
    <row r="23" spans="1:18" s="797" customFormat="1" ht="15" thickBot="1">
      <c r="A23" s="2439"/>
      <c r="B23" s="2493" t="s">
        <v>2270</v>
      </c>
      <c r="C23" s="2496"/>
      <c r="D23" s="1738"/>
      <c r="E23" s="2441"/>
      <c r="F23" s="2497" t="s">
        <v>2271</v>
      </c>
      <c r="G23" s="2498"/>
      <c r="H23" s="2482"/>
      <c r="I23" s="2483"/>
      <c r="J23" s="2482"/>
      <c r="K23" s="2482"/>
      <c r="L23" s="2483"/>
      <c r="M23" s="2482"/>
      <c r="N23" s="2482"/>
      <c r="O23" s="2483"/>
      <c r="P23" s="2482"/>
      <c r="Q23" s="2482"/>
      <c r="R23" s="2484"/>
    </row>
    <row r="24" spans="1:18" s="797" customFormat="1" ht="15" thickBot="1">
      <c r="A24" s="2442"/>
      <c r="B24" s="2497" t="s">
        <v>2272</v>
      </c>
      <c r="C24" s="2499">
        <f>C10</f>
        <v>0</v>
      </c>
      <c r="D24" s="1738"/>
      <c r="E24" s="2432"/>
      <c r="F24" s="2432"/>
      <c r="G24" s="2500"/>
      <c r="H24" s="2482"/>
      <c r="I24" s="2483"/>
      <c r="J24" s="2482"/>
      <c r="K24" s="2482"/>
      <c r="L24" s="2483"/>
      <c r="M24" s="2482"/>
      <c r="N24" s="2482"/>
      <c r="O24" s="2483"/>
      <c r="P24" s="2482"/>
      <c r="Q24" s="2482"/>
      <c r="R24" s="2484"/>
    </row>
    <row r="25" spans="1:18" s="797" customFormat="1">
      <c r="B25" s="2482"/>
      <c r="C25" s="2482"/>
      <c r="D25" s="2482"/>
      <c r="H25" s="2482"/>
      <c r="I25" s="2483"/>
      <c r="J25" s="2482"/>
      <c r="K25" s="2482"/>
      <c r="L25" s="2483"/>
      <c r="M25" s="2482"/>
      <c r="N25" s="2482"/>
      <c r="O25" s="2483"/>
      <c r="P25" s="2482"/>
      <c r="Q25" s="2482"/>
      <c r="R25" s="2484"/>
    </row>
    <row r="26" spans="1:18" s="797" customFormat="1">
      <c r="B26" s="2482"/>
      <c r="C26" s="2482"/>
      <c r="D26" s="2482"/>
      <c r="H26" s="2482"/>
      <c r="I26" s="2483"/>
      <c r="J26" s="2482"/>
      <c r="K26" s="2482"/>
      <c r="L26" s="2483"/>
      <c r="M26" s="2482"/>
      <c r="N26" s="2482"/>
      <c r="O26" s="2483"/>
      <c r="P26" s="2482"/>
      <c r="Q26" s="2482"/>
      <c r="R26" s="2484"/>
    </row>
    <row r="27" spans="1:18" s="797" customFormat="1">
      <c r="B27" s="2482"/>
      <c r="C27" s="2482"/>
      <c r="D27" s="2482"/>
      <c r="H27" s="2482"/>
      <c r="I27" s="2483"/>
      <c r="J27" s="2482"/>
      <c r="K27" s="2482"/>
      <c r="L27" s="2483"/>
      <c r="M27" s="2482"/>
      <c r="N27" s="2482"/>
      <c r="O27" s="2483"/>
      <c r="P27" s="2482"/>
      <c r="Q27" s="2482"/>
      <c r="R27" s="2484"/>
    </row>
    <row r="28" spans="1:18" s="797" customFormat="1">
      <c r="B28" s="2482"/>
      <c r="C28" s="2482"/>
      <c r="D28" s="2482"/>
      <c r="H28" s="2482"/>
      <c r="I28" s="2483"/>
      <c r="J28" s="2482"/>
      <c r="K28" s="2482"/>
      <c r="L28" s="2483"/>
      <c r="M28" s="2482"/>
      <c r="N28" s="2482"/>
      <c r="O28" s="2483"/>
      <c r="P28" s="2482"/>
      <c r="Q28" s="2482"/>
      <c r="R28" s="2484"/>
    </row>
    <row r="29" spans="1:18" s="797" customFormat="1">
      <c r="B29" s="2482"/>
      <c r="C29" s="2482"/>
      <c r="D29" s="2482"/>
      <c r="H29" s="2482"/>
      <c r="I29" s="2483"/>
      <c r="J29" s="2482"/>
      <c r="K29" s="2482"/>
      <c r="L29" s="2483"/>
      <c r="M29" s="2482"/>
      <c r="N29" s="2482"/>
      <c r="O29" s="2483"/>
      <c r="P29" s="2482"/>
      <c r="Q29" s="2482"/>
      <c r="R29" s="2484"/>
    </row>
    <row r="30" spans="1:18" s="797" customFormat="1">
      <c r="B30" s="2482"/>
      <c r="C30" s="2482"/>
      <c r="D30" s="2482"/>
      <c r="H30" s="2482"/>
      <c r="I30" s="2483"/>
      <c r="J30" s="2482"/>
      <c r="K30" s="2482"/>
      <c r="L30" s="2483"/>
      <c r="M30" s="2482"/>
      <c r="N30" s="2482"/>
      <c r="O30" s="2483"/>
      <c r="P30" s="2482"/>
      <c r="Q30" s="2482"/>
      <c r="R30" s="2484"/>
    </row>
    <row r="31" spans="1:18" s="797" customFormat="1">
      <c r="B31" s="2482"/>
      <c r="C31" s="2482"/>
      <c r="D31" s="2482"/>
      <c r="H31" s="2482"/>
      <c r="I31" s="2483"/>
      <c r="J31" s="2482"/>
      <c r="K31" s="2482"/>
      <c r="L31" s="2483"/>
      <c r="M31" s="2482"/>
      <c r="N31" s="2482"/>
      <c r="O31" s="2483"/>
      <c r="P31" s="2482"/>
      <c r="Q31" s="2482"/>
      <c r="R31" s="2484"/>
    </row>
    <row r="32" spans="1:18" s="797" customFormat="1">
      <c r="B32" s="2482"/>
      <c r="C32" s="2482"/>
      <c r="D32" s="2482"/>
      <c r="H32" s="2482"/>
      <c r="I32" s="2483"/>
      <c r="J32" s="2482"/>
      <c r="K32" s="2482"/>
      <c r="L32" s="2483"/>
      <c r="M32" s="2482"/>
      <c r="N32" s="2482"/>
      <c r="O32" s="2483"/>
      <c r="P32" s="2482"/>
      <c r="Q32" s="2482"/>
      <c r="R32" s="2484"/>
    </row>
    <row r="33" spans="2:18" s="797" customFormat="1">
      <c r="B33" s="2482"/>
      <c r="C33" s="2482"/>
      <c r="D33" s="2482"/>
      <c r="H33" s="2482"/>
      <c r="I33" s="2483"/>
      <c r="J33" s="2482"/>
      <c r="K33" s="2482"/>
      <c r="L33" s="2483"/>
      <c r="M33" s="2482"/>
      <c r="N33" s="2482"/>
      <c r="O33" s="2483"/>
      <c r="P33" s="2482"/>
      <c r="Q33" s="2482"/>
      <c r="R33" s="2484"/>
    </row>
    <row r="34" spans="2:18" s="797" customFormat="1">
      <c r="B34" s="2482"/>
      <c r="C34" s="2482"/>
      <c r="D34" s="2482"/>
      <c r="H34" s="2482"/>
      <c r="I34" s="2483"/>
      <c r="J34" s="2482"/>
      <c r="K34" s="2482"/>
      <c r="L34" s="2483"/>
      <c r="M34" s="2482"/>
      <c r="N34" s="2482"/>
      <c r="O34" s="2483"/>
      <c r="P34" s="2482"/>
      <c r="Q34" s="2482"/>
      <c r="R34" s="2484"/>
    </row>
    <row r="35" spans="2:18" s="797" customFormat="1">
      <c r="B35" s="2482"/>
      <c r="C35" s="2482"/>
      <c r="D35" s="2482"/>
      <c r="H35" s="2482"/>
      <c r="I35" s="2483"/>
      <c r="J35" s="2482"/>
      <c r="K35" s="2482"/>
      <c r="L35" s="2483"/>
      <c r="M35" s="2482"/>
      <c r="N35" s="2482"/>
      <c r="O35" s="2483"/>
      <c r="P35" s="2482"/>
      <c r="Q35" s="2482"/>
      <c r="R35" s="2484"/>
    </row>
    <row r="36" spans="2:18" s="797" customFormat="1">
      <c r="B36" s="2482"/>
      <c r="C36" s="2482"/>
      <c r="D36" s="2482"/>
      <c r="H36" s="2482"/>
      <c r="I36" s="2483"/>
      <c r="J36" s="2482"/>
      <c r="K36" s="2482"/>
      <c r="L36" s="2483"/>
      <c r="M36" s="2482"/>
      <c r="N36" s="2482"/>
      <c r="O36" s="2483"/>
      <c r="P36" s="2482"/>
      <c r="Q36" s="2482"/>
      <c r="R36" s="2484"/>
    </row>
    <row r="37" spans="2:18" s="797" customFormat="1">
      <c r="B37" s="2482"/>
      <c r="C37" s="2482"/>
      <c r="D37" s="2482"/>
      <c r="H37" s="2482"/>
      <c r="I37" s="2483"/>
      <c r="J37" s="2482"/>
      <c r="K37" s="2482"/>
      <c r="L37" s="2483"/>
      <c r="M37" s="2482"/>
      <c r="N37" s="2482"/>
      <c r="O37" s="2483"/>
      <c r="P37" s="2482"/>
      <c r="Q37" s="2482"/>
      <c r="R37" s="2484"/>
    </row>
    <row r="38" spans="2:18" s="797" customFormat="1">
      <c r="B38" s="2482"/>
      <c r="C38" s="2482"/>
      <c r="D38" s="2482"/>
      <c r="E38" s="2482"/>
      <c r="F38" s="2482"/>
      <c r="G38" s="2483"/>
      <c r="H38" s="2482"/>
      <c r="I38" s="2483"/>
      <c r="J38" s="2482"/>
      <c r="K38" s="2482"/>
      <c r="L38" s="2483"/>
      <c r="M38" s="2482"/>
      <c r="N38" s="2482"/>
      <c r="O38" s="2483"/>
      <c r="P38" s="2482"/>
      <c r="Q38" s="2482"/>
      <c r="R38" s="2484"/>
    </row>
    <row r="39" spans="2:18" s="797" customFormat="1">
      <c r="B39" s="2482"/>
      <c r="C39" s="2482"/>
      <c r="D39" s="2482"/>
      <c r="E39" s="2482"/>
      <c r="F39" s="2482"/>
      <c r="G39" s="2483"/>
      <c r="H39" s="2482"/>
      <c r="I39" s="2483"/>
      <c r="J39" s="2482"/>
      <c r="K39" s="2482"/>
      <c r="L39" s="2483"/>
      <c r="M39" s="2482"/>
      <c r="N39" s="2482"/>
      <c r="O39" s="2483"/>
      <c r="P39" s="2482"/>
      <c r="Q39" s="2482"/>
      <c r="R39" s="2484"/>
    </row>
    <row r="40" spans="2:18" s="797" customFormat="1">
      <c r="B40" s="2482"/>
      <c r="C40" s="2482"/>
      <c r="D40" s="2482"/>
      <c r="E40" s="2482"/>
      <c r="F40" s="2482"/>
      <c r="G40" s="2483"/>
      <c r="H40" s="2482"/>
      <c r="I40" s="2483"/>
      <c r="J40" s="2482"/>
      <c r="K40" s="2482"/>
      <c r="L40" s="2483"/>
      <c r="M40" s="2482"/>
      <c r="N40" s="2482"/>
      <c r="O40" s="2483"/>
      <c r="P40" s="2482"/>
      <c r="Q40" s="2482"/>
      <c r="R40" s="2484"/>
    </row>
    <row r="41" spans="2:18" s="797" customFormat="1">
      <c r="B41" s="2482"/>
      <c r="C41" s="2482"/>
      <c r="D41" s="2482"/>
      <c r="E41" s="2482"/>
      <c r="F41" s="2482"/>
      <c r="G41" s="2483"/>
      <c r="H41" s="2482"/>
      <c r="I41" s="2483"/>
      <c r="J41" s="2482"/>
      <c r="K41" s="2482"/>
      <c r="L41" s="2483"/>
      <c r="M41" s="2482"/>
      <c r="N41" s="2482"/>
      <c r="O41" s="2483"/>
      <c r="P41" s="2482"/>
      <c r="Q41" s="2482"/>
      <c r="R41" s="2484"/>
    </row>
    <row r="42" spans="2:18" s="797" customFormat="1">
      <c r="B42" s="2482"/>
      <c r="C42" s="2482"/>
      <c r="D42" s="2482"/>
      <c r="E42" s="2482"/>
      <c r="F42" s="2482"/>
      <c r="G42" s="2483"/>
      <c r="H42" s="2482"/>
      <c r="I42" s="2483"/>
      <c r="J42" s="2482"/>
      <c r="K42" s="2482"/>
      <c r="L42" s="2483"/>
      <c r="M42" s="2482"/>
      <c r="N42" s="2482"/>
      <c r="O42" s="2483"/>
      <c r="P42" s="2482"/>
      <c r="Q42" s="2482"/>
      <c r="R42" s="2484"/>
    </row>
    <row r="43" spans="2:18" s="797" customFormat="1">
      <c r="B43" s="2482"/>
      <c r="C43" s="2482"/>
      <c r="D43" s="2482"/>
      <c r="E43" s="2482"/>
      <c r="F43" s="2482"/>
      <c r="G43" s="2483"/>
      <c r="H43" s="2482"/>
      <c r="I43" s="2483"/>
      <c r="J43" s="2482"/>
      <c r="K43" s="2482"/>
      <c r="L43" s="2483"/>
      <c r="M43" s="2482"/>
      <c r="N43" s="2482"/>
      <c r="O43" s="2483"/>
      <c r="P43" s="2482"/>
      <c r="Q43" s="2482"/>
      <c r="R43" s="2484"/>
    </row>
    <row r="44" spans="2:18" s="797" customFormat="1">
      <c r="B44" s="2482"/>
      <c r="C44" s="2482"/>
      <c r="D44" s="2482"/>
      <c r="E44" s="2482"/>
      <c r="F44" s="2482"/>
      <c r="G44" s="2483"/>
      <c r="H44" s="2482"/>
      <c r="I44" s="2483"/>
      <c r="J44" s="2482"/>
      <c r="K44" s="2482"/>
      <c r="L44" s="2483"/>
      <c r="M44" s="2482"/>
      <c r="N44" s="2482"/>
      <c r="O44" s="2483"/>
      <c r="P44" s="2482"/>
      <c r="Q44" s="2482"/>
      <c r="R44" s="2484"/>
    </row>
    <row r="45" spans="2:18" s="797" customFormat="1">
      <c r="B45" s="2482"/>
      <c r="C45" s="2482"/>
      <c r="D45" s="2482"/>
      <c r="E45" s="2482"/>
      <c r="F45" s="2482"/>
      <c r="G45" s="2483"/>
      <c r="H45" s="2482"/>
      <c r="I45" s="2483"/>
      <c r="J45" s="2482"/>
      <c r="K45" s="2482"/>
      <c r="L45" s="2483"/>
      <c r="M45" s="2482"/>
      <c r="N45" s="2482"/>
      <c r="O45" s="2483"/>
      <c r="P45" s="2482"/>
      <c r="Q45" s="2482"/>
      <c r="R45" s="2484"/>
    </row>
    <row r="46" spans="2:18" s="797" customFormat="1">
      <c r="B46" s="2482"/>
      <c r="C46" s="2482"/>
      <c r="D46" s="2482"/>
      <c r="E46" s="2482"/>
      <c r="F46" s="2482"/>
      <c r="G46" s="2483"/>
      <c r="H46" s="2482"/>
      <c r="I46" s="2483"/>
      <c r="J46" s="2482"/>
      <c r="K46" s="2482"/>
      <c r="L46" s="2483"/>
      <c r="M46" s="2482"/>
      <c r="N46" s="2482"/>
      <c r="O46" s="2483"/>
      <c r="P46" s="2482"/>
      <c r="Q46" s="2482"/>
      <c r="R46" s="2484"/>
    </row>
    <row r="47" spans="2:18" s="797" customFormat="1">
      <c r="B47" s="2482"/>
      <c r="C47" s="2482"/>
      <c r="D47" s="2482"/>
      <c r="E47" s="2482"/>
      <c r="F47" s="2482"/>
      <c r="G47" s="2483"/>
      <c r="H47" s="2482"/>
      <c r="I47" s="2483"/>
      <c r="J47" s="2482"/>
      <c r="K47" s="2482"/>
      <c r="L47" s="2483"/>
      <c r="M47" s="2482"/>
      <c r="N47" s="2482"/>
      <c r="O47" s="2483"/>
      <c r="P47" s="2482"/>
      <c r="Q47" s="2482"/>
      <c r="R47" s="2484"/>
    </row>
    <row r="48" spans="2:18" s="797" customFormat="1">
      <c r="B48" s="2482"/>
      <c r="C48" s="2482"/>
      <c r="D48" s="2482"/>
      <c r="E48" s="2482"/>
      <c r="F48" s="2482"/>
      <c r="G48" s="2483"/>
      <c r="H48" s="2482"/>
      <c r="I48" s="2483"/>
      <c r="J48" s="2482"/>
      <c r="K48" s="2482"/>
      <c r="L48" s="2483"/>
      <c r="M48" s="2482"/>
      <c r="N48" s="2482"/>
      <c r="O48" s="2483"/>
      <c r="P48" s="2482"/>
      <c r="Q48" s="2482"/>
      <c r="R48" s="2484"/>
    </row>
    <row r="49" spans="2:18" s="797" customFormat="1">
      <c r="B49" s="2482"/>
      <c r="C49" s="2482"/>
      <c r="D49" s="2482"/>
      <c r="E49" s="2482"/>
      <c r="F49" s="2482"/>
      <c r="G49" s="2483"/>
      <c r="H49" s="2482"/>
      <c r="I49" s="2483"/>
      <c r="J49" s="2482"/>
      <c r="K49" s="2482"/>
      <c r="L49" s="2483"/>
      <c r="M49" s="2482"/>
      <c r="N49" s="2482"/>
      <c r="O49" s="2483"/>
      <c r="P49" s="2482"/>
      <c r="Q49" s="2482"/>
      <c r="R49" s="2484"/>
    </row>
    <row r="50" spans="2:18" s="797" customFormat="1">
      <c r="B50" s="2482"/>
      <c r="C50" s="2482"/>
      <c r="D50" s="2482"/>
      <c r="E50" s="2482"/>
      <c r="F50" s="2482"/>
      <c r="G50" s="2483"/>
      <c r="H50" s="2482"/>
      <c r="I50" s="2483"/>
      <c r="J50" s="2482"/>
      <c r="K50" s="2482"/>
      <c r="L50" s="2483"/>
      <c r="M50" s="2482"/>
      <c r="N50" s="2482"/>
      <c r="O50" s="2483"/>
      <c r="P50" s="2482"/>
      <c r="Q50" s="2482"/>
      <c r="R50" s="2484"/>
    </row>
    <row r="51" spans="2:18" s="797" customFormat="1">
      <c r="B51" s="2482"/>
      <c r="C51" s="2482"/>
      <c r="D51" s="2482"/>
      <c r="E51" s="2482"/>
      <c r="F51" s="2482"/>
      <c r="G51" s="2483"/>
      <c r="H51" s="2482"/>
      <c r="I51" s="2483"/>
      <c r="J51" s="2482"/>
      <c r="K51" s="2482"/>
      <c r="L51" s="2483"/>
      <c r="M51" s="2482"/>
      <c r="N51" s="2482"/>
      <c r="O51" s="2483"/>
      <c r="P51" s="2482"/>
      <c r="Q51" s="2482"/>
      <c r="R51" s="2484"/>
    </row>
    <row r="52" spans="2:18" s="797" customFormat="1">
      <c r="B52" s="2482"/>
      <c r="C52" s="2482"/>
      <c r="D52" s="2482"/>
      <c r="E52" s="2482"/>
      <c r="F52" s="2482"/>
      <c r="G52" s="2483"/>
      <c r="H52" s="2482"/>
      <c r="I52" s="2483"/>
      <c r="J52" s="2482"/>
      <c r="K52" s="2482"/>
      <c r="L52" s="2483"/>
      <c r="M52" s="2482"/>
      <c r="N52" s="2482"/>
      <c r="O52" s="2483"/>
      <c r="P52" s="2482"/>
      <c r="Q52" s="2482"/>
      <c r="R52" s="2484"/>
    </row>
    <row r="53" spans="2:18" s="797" customFormat="1">
      <c r="B53" s="2482"/>
      <c r="C53" s="2482"/>
      <c r="D53" s="2482"/>
      <c r="E53" s="2482"/>
      <c r="F53" s="2482"/>
      <c r="G53" s="2483"/>
      <c r="H53" s="2482"/>
      <c r="I53" s="2483"/>
      <c r="J53" s="2482"/>
      <c r="K53" s="2482"/>
      <c r="L53" s="2483"/>
      <c r="M53" s="2482"/>
      <c r="N53" s="2482"/>
      <c r="O53" s="2483"/>
      <c r="P53" s="2482"/>
      <c r="Q53" s="2482"/>
      <c r="R53" s="2484"/>
    </row>
    <row r="54" spans="2:18" s="797" customFormat="1">
      <c r="B54" s="2482"/>
      <c r="C54" s="2482"/>
      <c r="D54" s="2482"/>
      <c r="E54" s="2482"/>
      <c r="F54" s="2482"/>
      <c r="G54" s="2483"/>
      <c r="H54" s="2482"/>
      <c r="I54" s="2483"/>
      <c r="J54" s="2482"/>
      <c r="K54" s="2482"/>
      <c r="L54" s="2483"/>
      <c r="M54" s="2482"/>
      <c r="N54" s="2482"/>
      <c r="O54" s="2483"/>
      <c r="P54" s="2482"/>
      <c r="Q54" s="2482"/>
      <c r="R54" s="2484"/>
    </row>
    <row r="55" spans="2:18" s="797" customFormat="1">
      <c r="B55" s="2482"/>
      <c r="C55" s="2482"/>
      <c r="D55" s="2482"/>
      <c r="E55" s="2482"/>
      <c r="F55" s="2482"/>
      <c r="G55" s="2483"/>
      <c r="H55" s="2482"/>
      <c r="I55" s="2483"/>
      <c r="J55" s="2482"/>
      <c r="K55" s="2482"/>
      <c r="L55" s="2483"/>
      <c r="M55" s="2482"/>
      <c r="N55" s="2482"/>
      <c r="O55" s="2483"/>
      <c r="P55" s="2482"/>
      <c r="Q55" s="2482"/>
      <c r="R55" s="2484"/>
    </row>
    <row r="56" spans="2:18" s="797" customFormat="1">
      <c r="B56" s="2482"/>
      <c r="C56" s="2482"/>
      <c r="D56" s="2482"/>
      <c r="E56" s="2482"/>
      <c r="F56" s="2482"/>
      <c r="G56" s="2483"/>
      <c r="H56" s="2482"/>
      <c r="I56" s="2483"/>
      <c r="J56" s="2482"/>
      <c r="K56" s="2482"/>
      <c r="L56" s="2483"/>
      <c r="M56" s="2482"/>
      <c r="N56" s="2482"/>
      <c r="O56" s="2483"/>
      <c r="P56" s="2482"/>
      <c r="Q56" s="2482"/>
      <c r="R56" s="2484"/>
    </row>
    <row r="57" spans="2:18" s="797" customFormat="1">
      <c r="B57" s="2482"/>
      <c r="C57" s="2482"/>
      <c r="D57" s="2482"/>
      <c r="E57" s="2482"/>
      <c r="F57" s="2482"/>
      <c r="G57" s="2483"/>
      <c r="H57" s="2482"/>
      <c r="I57" s="2483"/>
      <c r="J57" s="2482"/>
      <c r="K57" s="2482"/>
      <c r="L57" s="2483"/>
      <c r="M57" s="2482"/>
      <c r="N57" s="2482"/>
      <c r="O57" s="2483"/>
      <c r="P57" s="2482"/>
      <c r="Q57" s="2482"/>
      <c r="R57" s="2484"/>
    </row>
    <row r="58" spans="2:18" s="797" customFormat="1">
      <c r="B58" s="2482"/>
      <c r="C58" s="2482"/>
      <c r="D58" s="2482"/>
      <c r="E58" s="2482"/>
      <c r="F58" s="2482"/>
      <c r="G58" s="2483"/>
      <c r="H58" s="2482"/>
      <c r="I58" s="2483"/>
      <c r="J58" s="2482"/>
      <c r="K58" s="2482"/>
      <c r="L58" s="2483"/>
      <c r="M58" s="2482"/>
      <c r="N58" s="2482"/>
      <c r="O58" s="2483"/>
      <c r="P58" s="2482"/>
      <c r="Q58" s="2482"/>
      <c r="R58" s="2484"/>
    </row>
    <row r="59" spans="2:18" s="797" customFormat="1">
      <c r="B59" s="2482"/>
      <c r="C59" s="2482"/>
      <c r="D59" s="2482"/>
      <c r="E59" s="2482"/>
      <c r="F59" s="2482"/>
      <c r="G59" s="2483"/>
      <c r="H59" s="2482"/>
      <c r="I59" s="2483"/>
      <c r="J59" s="2482"/>
      <c r="K59" s="2482"/>
      <c r="L59" s="2483"/>
      <c r="M59" s="2482"/>
      <c r="N59" s="2482"/>
      <c r="O59" s="2483"/>
      <c r="P59" s="2482"/>
      <c r="Q59" s="2482"/>
      <c r="R59" s="2484"/>
    </row>
    <row r="60" spans="2:18" s="797" customFormat="1">
      <c r="B60" s="2482"/>
      <c r="C60" s="2482"/>
      <c r="D60" s="2482"/>
      <c r="E60" s="2482"/>
      <c r="F60" s="2482"/>
      <c r="G60" s="2483"/>
      <c r="H60" s="2482"/>
      <c r="I60" s="2483"/>
      <c r="J60" s="2482"/>
      <c r="K60" s="2482"/>
      <c r="L60" s="2483"/>
      <c r="M60" s="2482"/>
      <c r="N60" s="2482"/>
      <c r="O60" s="2483"/>
      <c r="P60" s="2482"/>
      <c r="Q60" s="2482"/>
      <c r="R60" s="2484"/>
    </row>
    <row r="61" spans="2:18" s="797" customFormat="1">
      <c r="B61" s="2482"/>
      <c r="C61" s="2482"/>
      <c r="D61" s="2482"/>
      <c r="E61" s="2482"/>
      <c r="F61" s="2482"/>
      <c r="G61" s="2483"/>
      <c r="H61" s="2482"/>
      <c r="I61" s="2483"/>
      <c r="J61" s="2482"/>
      <c r="K61" s="2482"/>
      <c r="L61" s="2483"/>
      <c r="M61" s="2482"/>
      <c r="N61" s="2482"/>
      <c r="O61" s="2483"/>
      <c r="P61" s="2482"/>
      <c r="Q61" s="2482"/>
      <c r="R61" s="2484"/>
    </row>
    <row r="62" spans="2:18" s="797" customFormat="1">
      <c r="B62" s="2482"/>
      <c r="C62" s="2482"/>
      <c r="D62" s="2482"/>
      <c r="E62" s="2482"/>
      <c r="F62" s="2482"/>
      <c r="G62" s="2483"/>
      <c r="H62" s="2482"/>
      <c r="I62" s="2483"/>
      <c r="J62" s="2482"/>
      <c r="K62" s="2482"/>
      <c r="L62" s="2483"/>
      <c r="M62" s="2482"/>
      <c r="N62" s="2482"/>
      <c r="O62" s="2483"/>
      <c r="P62" s="2482"/>
      <c r="Q62" s="2482"/>
      <c r="R62" s="2484"/>
    </row>
    <row r="63" spans="2:18" s="797" customFormat="1">
      <c r="B63" s="2482"/>
      <c r="C63" s="2482"/>
      <c r="D63" s="2482"/>
      <c r="E63" s="2482"/>
      <c r="F63" s="2482"/>
      <c r="G63" s="2483"/>
      <c r="H63" s="2482"/>
      <c r="I63" s="2483"/>
      <c r="J63" s="2482"/>
      <c r="K63" s="2482"/>
      <c r="L63" s="2483"/>
      <c r="M63" s="2482"/>
      <c r="N63" s="2482"/>
      <c r="O63" s="2483"/>
      <c r="P63" s="2482"/>
      <c r="Q63" s="2482"/>
      <c r="R63" s="2484"/>
    </row>
    <row r="64" spans="2:18" s="797" customFormat="1">
      <c r="B64" s="2482"/>
      <c r="C64" s="2482"/>
      <c r="D64" s="2482"/>
      <c r="E64" s="2482"/>
      <c r="F64" s="2482"/>
      <c r="G64" s="2483"/>
      <c r="H64" s="2482"/>
      <c r="I64" s="2483"/>
      <c r="J64" s="2482"/>
      <c r="K64" s="2482"/>
      <c r="L64" s="2483"/>
      <c r="M64" s="2482"/>
      <c r="N64" s="2482"/>
      <c r="O64" s="2483"/>
      <c r="P64" s="2482"/>
      <c r="Q64" s="2482"/>
      <c r="R64" s="2484"/>
    </row>
    <row r="65" spans="2:18" s="797" customFormat="1">
      <c r="B65" s="2482"/>
      <c r="C65" s="2482"/>
      <c r="D65" s="2482"/>
      <c r="E65" s="2482"/>
      <c r="F65" s="2482"/>
      <c r="G65" s="2483"/>
      <c r="H65" s="2482"/>
      <c r="I65" s="2483"/>
      <c r="J65" s="2482"/>
      <c r="K65" s="2482"/>
      <c r="L65" s="2483"/>
      <c r="M65" s="2482"/>
      <c r="N65" s="2482"/>
      <c r="O65" s="2483"/>
      <c r="P65" s="2482"/>
      <c r="Q65" s="2482"/>
      <c r="R65" s="2484"/>
    </row>
    <row r="66" spans="2:18" s="797" customFormat="1">
      <c r="B66" s="2482"/>
      <c r="C66" s="2482"/>
      <c r="D66" s="2482"/>
      <c r="E66" s="2482"/>
      <c r="F66" s="2482"/>
      <c r="G66" s="2483"/>
      <c r="H66" s="2482"/>
      <c r="I66" s="2483"/>
      <c r="J66" s="2482"/>
      <c r="K66" s="2482"/>
      <c r="L66" s="2483"/>
      <c r="M66" s="2482"/>
      <c r="N66" s="2482"/>
      <c r="O66" s="2483"/>
      <c r="P66" s="2482"/>
      <c r="Q66" s="2482"/>
      <c r="R66" s="2484"/>
    </row>
    <row r="67" spans="2:18" s="797" customFormat="1">
      <c r="B67" s="2482"/>
      <c r="C67" s="2482"/>
      <c r="D67" s="2482"/>
      <c r="E67" s="2482"/>
      <c r="F67" s="2482"/>
      <c r="G67" s="2483"/>
      <c r="H67" s="2482"/>
      <c r="I67" s="2483"/>
      <c r="J67" s="2482"/>
      <c r="K67" s="2482"/>
      <c r="L67" s="2483"/>
      <c r="M67" s="2482"/>
      <c r="N67" s="2482"/>
      <c r="O67" s="2483"/>
      <c r="P67" s="2482"/>
      <c r="Q67" s="2482"/>
      <c r="R67" s="2484"/>
    </row>
    <row r="68" spans="2:18" s="797" customFormat="1">
      <c r="B68" s="2482"/>
      <c r="C68" s="2482"/>
      <c r="D68" s="2482"/>
      <c r="E68" s="2482"/>
      <c r="F68" s="2482"/>
      <c r="G68" s="2483"/>
      <c r="H68" s="2482"/>
      <c r="I68" s="2483"/>
      <c r="J68" s="2482"/>
      <c r="K68" s="2482"/>
      <c r="L68" s="2483"/>
      <c r="M68" s="2482"/>
      <c r="N68" s="2482"/>
      <c r="O68" s="2483"/>
      <c r="P68" s="2482"/>
      <c r="Q68" s="2482"/>
      <c r="R68" s="2484"/>
    </row>
    <row r="69" spans="2:18" s="797" customFormat="1">
      <c r="B69" s="2482"/>
      <c r="C69" s="2482"/>
      <c r="D69" s="2482"/>
      <c r="E69" s="2482"/>
      <c r="F69" s="2482"/>
      <c r="G69" s="2483"/>
      <c r="H69" s="2482"/>
      <c r="I69" s="2483"/>
      <c r="J69" s="2482"/>
      <c r="K69" s="2482"/>
      <c r="L69" s="2483"/>
      <c r="M69" s="2482"/>
      <c r="N69" s="2482"/>
      <c r="O69" s="2483"/>
      <c r="P69" s="2482"/>
      <c r="Q69" s="2482"/>
      <c r="R69" s="2484"/>
    </row>
    <row r="70" spans="2:18" s="797" customFormat="1">
      <c r="B70" s="2482"/>
      <c r="C70" s="2482"/>
      <c r="D70" s="2482"/>
      <c r="E70" s="2482"/>
      <c r="F70" s="2482"/>
      <c r="G70" s="2483"/>
      <c r="H70" s="2482"/>
      <c r="I70" s="2483"/>
      <c r="J70" s="2482"/>
      <c r="K70" s="2482"/>
      <c r="L70" s="2483"/>
      <c r="M70" s="2482"/>
      <c r="N70" s="2482"/>
      <c r="O70" s="2483"/>
      <c r="P70" s="2482"/>
      <c r="Q70" s="2482"/>
      <c r="R70" s="2484"/>
    </row>
    <row r="71" spans="2:18" s="797" customFormat="1">
      <c r="B71" s="2482"/>
      <c r="C71" s="2482"/>
      <c r="D71" s="2482"/>
      <c r="E71" s="2482"/>
      <c r="F71" s="2482"/>
      <c r="G71" s="2483"/>
      <c r="H71" s="2482"/>
      <c r="I71" s="2483"/>
      <c r="J71" s="2482"/>
      <c r="K71" s="2482"/>
      <c r="L71" s="2483"/>
      <c r="M71" s="2482"/>
      <c r="N71" s="2482"/>
      <c r="O71" s="2483"/>
      <c r="P71" s="2482"/>
      <c r="Q71" s="2482"/>
      <c r="R71" s="2484"/>
    </row>
    <row r="72" spans="2:18" s="797" customFormat="1">
      <c r="B72" s="2482"/>
      <c r="C72" s="2482"/>
      <c r="D72" s="2482"/>
      <c r="E72" s="2482"/>
      <c r="F72" s="2482"/>
      <c r="G72" s="2483"/>
      <c r="H72" s="2482"/>
      <c r="I72" s="2483"/>
      <c r="J72" s="2482"/>
      <c r="K72" s="2482"/>
      <c r="L72" s="2483"/>
      <c r="M72" s="2482"/>
      <c r="N72" s="2482"/>
      <c r="O72" s="2483"/>
      <c r="P72" s="2482"/>
      <c r="Q72" s="2482"/>
      <c r="R72" s="2484"/>
    </row>
    <row r="73" spans="2:18" s="797" customFormat="1">
      <c r="B73" s="2482"/>
      <c r="C73" s="2482"/>
      <c r="D73" s="2482"/>
      <c r="E73" s="2482"/>
      <c r="F73" s="2482"/>
      <c r="G73" s="2483"/>
      <c r="H73" s="2482"/>
      <c r="I73" s="2483"/>
      <c r="J73" s="2482"/>
      <c r="K73" s="2482"/>
      <c r="L73" s="2483"/>
      <c r="M73" s="2482"/>
      <c r="N73" s="2482"/>
      <c r="O73" s="2483"/>
      <c r="P73" s="2482"/>
      <c r="Q73" s="2482"/>
      <c r="R73" s="2484"/>
    </row>
    <row r="74" spans="2:18" s="797" customFormat="1">
      <c r="B74" s="2482"/>
      <c r="C74" s="2482"/>
      <c r="D74" s="2482"/>
      <c r="E74" s="2482"/>
      <c r="F74" s="2482"/>
      <c r="G74" s="2483"/>
      <c r="H74" s="2482"/>
      <c r="I74" s="2483"/>
      <c r="J74" s="2482"/>
      <c r="K74" s="2482"/>
      <c r="L74" s="2483"/>
      <c r="M74" s="2482"/>
      <c r="N74" s="2482"/>
      <c r="O74" s="2483"/>
      <c r="P74" s="2482"/>
      <c r="Q74" s="2482"/>
      <c r="R74" s="2484"/>
    </row>
    <row r="75" spans="2:18" s="797" customFormat="1">
      <c r="B75" s="2482"/>
      <c r="C75" s="2482"/>
      <c r="D75" s="2482"/>
      <c r="E75" s="2482"/>
      <c r="F75" s="2482"/>
      <c r="G75" s="2483"/>
      <c r="H75" s="2482"/>
      <c r="I75" s="2483"/>
      <c r="J75" s="2482"/>
      <c r="K75" s="2482"/>
      <c r="L75" s="2483"/>
      <c r="M75" s="2482"/>
      <c r="N75" s="2482"/>
      <c r="O75" s="2483"/>
      <c r="P75" s="2482"/>
      <c r="Q75" s="2482"/>
      <c r="R75" s="2484"/>
    </row>
    <row r="76" spans="2:18" s="797" customFormat="1">
      <c r="B76" s="2482"/>
      <c r="C76" s="2482"/>
      <c r="D76" s="2482"/>
      <c r="E76" s="2482"/>
      <c r="F76" s="2482"/>
      <c r="G76" s="2483"/>
      <c r="H76" s="2482"/>
      <c r="I76" s="2483"/>
      <c r="J76" s="2482"/>
      <c r="K76" s="2482"/>
      <c r="L76" s="2483"/>
      <c r="M76" s="2482"/>
      <c r="N76" s="2482"/>
      <c r="O76" s="2483"/>
      <c r="P76" s="2482"/>
      <c r="Q76" s="2482"/>
      <c r="R76" s="2484"/>
    </row>
    <row r="77" spans="2:18" s="797" customFormat="1">
      <c r="B77" s="2482"/>
      <c r="C77" s="2482"/>
      <c r="D77" s="2482"/>
      <c r="E77" s="2482"/>
      <c r="F77" s="2482"/>
      <c r="G77" s="2483"/>
      <c r="H77" s="2482"/>
      <c r="I77" s="2483"/>
      <c r="J77" s="2482"/>
      <c r="K77" s="2482"/>
      <c r="L77" s="2483"/>
      <c r="M77" s="2482"/>
      <c r="N77" s="2482"/>
      <c r="O77" s="2483"/>
      <c r="P77" s="2482"/>
      <c r="Q77" s="2482"/>
      <c r="R77" s="2484"/>
    </row>
    <row r="78" spans="2:18" s="797" customFormat="1">
      <c r="B78" s="2482"/>
      <c r="C78" s="2482"/>
      <c r="D78" s="2482"/>
      <c r="E78" s="2482"/>
      <c r="F78" s="2482"/>
      <c r="G78" s="2483"/>
      <c r="H78" s="2482"/>
      <c r="I78" s="2483"/>
      <c r="J78" s="2482"/>
      <c r="K78" s="2482"/>
      <c r="L78" s="2483"/>
      <c r="M78" s="2482"/>
      <c r="N78" s="2482"/>
      <c r="O78" s="2483"/>
      <c r="P78" s="2482"/>
      <c r="Q78" s="2482"/>
      <c r="R78" s="2484"/>
    </row>
    <row r="79" spans="2:18" s="797" customFormat="1">
      <c r="B79" s="2482"/>
      <c r="C79" s="2482"/>
      <c r="D79" s="2482"/>
      <c r="E79" s="2482"/>
      <c r="F79" s="2482"/>
      <c r="G79" s="2483"/>
      <c r="H79" s="2482"/>
      <c r="I79" s="2483"/>
      <c r="J79" s="2482"/>
      <c r="K79" s="2482"/>
      <c r="L79" s="2483"/>
      <c r="M79" s="2482"/>
      <c r="N79" s="2482"/>
      <c r="O79" s="2483"/>
      <c r="P79" s="2482"/>
      <c r="Q79" s="2482"/>
      <c r="R79" s="2484"/>
    </row>
    <row r="80" spans="2:18" s="797" customFormat="1">
      <c r="B80" s="2482"/>
      <c r="C80" s="2482"/>
      <c r="D80" s="2482"/>
      <c r="E80" s="2482"/>
      <c r="F80" s="2482"/>
      <c r="G80" s="2483"/>
      <c r="H80" s="2482"/>
      <c r="I80" s="2483"/>
      <c r="J80" s="2482"/>
      <c r="K80" s="2482"/>
      <c r="L80" s="2483"/>
      <c r="M80" s="2482"/>
      <c r="N80" s="2482"/>
      <c r="O80" s="2483"/>
      <c r="P80" s="2482"/>
      <c r="Q80" s="2482"/>
      <c r="R80" s="2484"/>
    </row>
    <row r="81" spans="2:18" s="797" customFormat="1">
      <c r="B81" s="2482"/>
      <c r="C81" s="2482"/>
      <c r="D81" s="2482"/>
      <c r="E81" s="2482"/>
      <c r="F81" s="2482"/>
      <c r="G81" s="2483"/>
      <c r="H81" s="2482"/>
      <c r="I81" s="2483"/>
      <c r="J81" s="2482"/>
      <c r="K81" s="2482"/>
      <c r="L81" s="2483"/>
      <c r="M81" s="2482"/>
      <c r="N81" s="2482"/>
      <c r="O81" s="2483"/>
      <c r="P81" s="2482"/>
      <c r="Q81" s="2482"/>
      <c r="R81" s="2484"/>
    </row>
    <row r="82" spans="2:18" s="797" customFormat="1">
      <c r="B82" s="2482"/>
      <c r="C82" s="2482"/>
      <c r="D82" s="2482"/>
      <c r="E82" s="2482"/>
      <c r="F82" s="2482"/>
      <c r="G82" s="2483"/>
      <c r="H82" s="2482"/>
      <c r="I82" s="2483"/>
      <c r="J82" s="2482"/>
      <c r="K82" s="2482"/>
      <c r="L82" s="2483"/>
      <c r="M82" s="2482"/>
      <c r="N82" s="2482"/>
      <c r="O82" s="2483"/>
      <c r="P82" s="2482"/>
      <c r="Q82" s="2482"/>
      <c r="R82" s="2484"/>
    </row>
    <row r="83" spans="2:18" s="797" customFormat="1">
      <c r="B83" s="2482"/>
      <c r="C83" s="2482"/>
      <c r="D83" s="2482"/>
      <c r="E83" s="2482"/>
      <c r="F83" s="2482"/>
      <c r="G83" s="2483"/>
      <c r="H83" s="2482"/>
      <c r="I83" s="2483"/>
      <c r="J83" s="2482"/>
      <c r="K83" s="2482"/>
      <c r="L83" s="2483"/>
      <c r="M83" s="2482"/>
      <c r="N83" s="2482"/>
      <c r="O83" s="2483"/>
      <c r="P83" s="2482"/>
      <c r="Q83" s="2482"/>
      <c r="R83" s="2484"/>
    </row>
    <row r="84" spans="2:18" s="797" customFormat="1">
      <c r="B84" s="2482"/>
      <c r="C84" s="2482"/>
      <c r="D84" s="2482"/>
      <c r="E84" s="2482"/>
      <c r="F84" s="2482"/>
      <c r="G84" s="2483"/>
      <c r="H84" s="2482"/>
      <c r="I84" s="2483"/>
      <c r="J84" s="2482"/>
      <c r="K84" s="2482"/>
      <c r="L84" s="2483"/>
      <c r="M84" s="2482"/>
      <c r="N84" s="2482"/>
      <c r="O84" s="2483"/>
      <c r="P84" s="2482"/>
      <c r="Q84" s="2482"/>
      <c r="R84" s="2484"/>
    </row>
    <row r="85" spans="2:18" s="797" customFormat="1">
      <c r="B85" s="2482"/>
      <c r="C85" s="2482"/>
      <c r="D85" s="2482"/>
      <c r="E85" s="2482"/>
      <c r="F85" s="2482"/>
      <c r="G85" s="2483"/>
      <c r="H85" s="2482"/>
      <c r="I85" s="2483"/>
      <c r="J85" s="2482"/>
      <c r="K85" s="2482"/>
      <c r="L85" s="2483"/>
      <c r="M85" s="2482"/>
      <c r="N85" s="2482"/>
      <c r="O85" s="2483"/>
      <c r="P85" s="2482"/>
      <c r="Q85" s="2482"/>
      <c r="R85" s="2484"/>
    </row>
    <row r="86" spans="2:18" s="797" customFormat="1">
      <c r="B86" s="2482"/>
      <c r="C86" s="2482"/>
      <c r="D86" s="2482"/>
      <c r="E86" s="2482"/>
      <c r="F86" s="2482"/>
      <c r="G86" s="2483"/>
      <c r="H86" s="2482"/>
      <c r="I86" s="2483"/>
      <c r="J86" s="2482"/>
      <c r="K86" s="2482"/>
      <c r="L86" s="2483"/>
      <c r="M86" s="2482"/>
      <c r="N86" s="2482"/>
      <c r="O86" s="2483"/>
      <c r="P86" s="2482"/>
      <c r="Q86" s="2482"/>
      <c r="R86" s="2484"/>
    </row>
    <row r="87" spans="2:18" s="797" customFormat="1">
      <c r="B87" s="2482"/>
      <c r="C87" s="2482"/>
      <c r="D87" s="2482"/>
      <c r="E87" s="2482"/>
      <c r="F87" s="2482"/>
      <c r="G87" s="2483"/>
      <c r="H87" s="2482"/>
      <c r="I87" s="2483"/>
      <c r="J87" s="2482"/>
      <c r="K87" s="2482"/>
      <c r="L87" s="2483"/>
      <c r="M87" s="2482"/>
      <c r="N87" s="2482"/>
      <c r="O87" s="2483"/>
      <c r="P87" s="2482"/>
      <c r="Q87" s="2482"/>
      <c r="R87" s="2484"/>
    </row>
    <row r="88" spans="2:18" s="797" customFormat="1">
      <c r="B88" s="2482"/>
      <c r="C88" s="2482"/>
      <c r="D88" s="2482"/>
      <c r="E88" s="2482"/>
      <c r="F88" s="2482"/>
      <c r="G88" s="2483"/>
      <c r="H88" s="2482"/>
      <c r="I88" s="2483"/>
      <c r="J88" s="2482"/>
      <c r="K88" s="2482"/>
      <c r="L88" s="2483"/>
      <c r="M88" s="2482"/>
      <c r="N88" s="2482"/>
      <c r="O88" s="2483"/>
      <c r="P88" s="2482"/>
      <c r="Q88" s="2482"/>
      <c r="R88" s="2484"/>
    </row>
    <row r="89" spans="2:18" s="797" customFormat="1">
      <c r="B89" s="2482"/>
      <c r="C89" s="2482"/>
      <c r="D89" s="2482"/>
      <c r="E89" s="2482"/>
      <c r="F89" s="2482"/>
      <c r="G89" s="2483"/>
      <c r="H89" s="2482"/>
      <c r="I89" s="2483"/>
      <c r="J89" s="2482"/>
      <c r="K89" s="2482"/>
      <c r="L89" s="2483"/>
      <c r="M89" s="2482"/>
      <c r="N89" s="2482"/>
      <c r="O89" s="2483"/>
      <c r="P89" s="2482"/>
      <c r="Q89" s="2482"/>
      <c r="R89" s="2484"/>
    </row>
    <row r="90" spans="2:18" s="797" customFormat="1">
      <c r="B90" s="2482"/>
      <c r="C90" s="2482"/>
      <c r="D90" s="2482"/>
      <c r="E90" s="2482"/>
      <c r="F90" s="2482"/>
      <c r="G90" s="2483"/>
      <c r="H90" s="2482"/>
      <c r="I90" s="2483"/>
      <c r="J90" s="2482"/>
      <c r="K90" s="2482"/>
      <c r="L90" s="2483"/>
      <c r="M90" s="2482"/>
      <c r="N90" s="2482"/>
      <c r="O90" s="2483"/>
      <c r="P90" s="2482"/>
      <c r="Q90" s="2482"/>
      <c r="R90" s="2484"/>
    </row>
    <row r="91" spans="2:18" s="797" customFormat="1">
      <c r="B91" s="2482"/>
      <c r="C91" s="2482"/>
      <c r="D91" s="2482"/>
      <c r="E91" s="2482"/>
      <c r="F91" s="2482"/>
      <c r="G91" s="2483"/>
      <c r="H91" s="2482"/>
      <c r="I91" s="2483"/>
      <c r="J91" s="2482"/>
      <c r="K91" s="2482"/>
      <c r="L91" s="2483"/>
      <c r="M91" s="2482"/>
      <c r="N91" s="2482"/>
      <c r="O91" s="2483"/>
      <c r="P91" s="2482"/>
      <c r="Q91" s="2482"/>
      <c r="R91" s="2484"/>
    </row>
    <row r="92" spans="2:18" s="797" customFormat="1">
      <c r="B92" s="2482"/>
      <c r="C92" s="2482"/>
      <c r="D92" s="2482"/>
      <c r="E92" s="2482"/>
      <c r="F92" s="2482"/>
      <c r="G92" s="2483"/>
      <c r="H92" s="2482"/>
      <c r="I92" s="2483"/>
      <c r="J92" s="2482"/>
      <c r="K92" s="2482"/>
      <c r="L92" s="2483"/>
      <c r="M92" s="2482"/>
      <c r="N92" s="2482"/>
      <c r="O92" s="2483"/>
      <c r="P92" s="2482"/>
      <c r="Q92" s="2482"/>
      <c r="R92" s="2484"/>
    </row>
    <row r="93" spans="2:18" s="797" customFormat="1">
      <c r="B93" s="2482"/>
      <c r="C93" s="2482"/>
      <c r="D93" s="2482"/>
      <c r="E93" s="2482"/>
      <c r="F93" s="2482"/>
      <c r="G93" s="2483"/>
      <c r="H93" s="2482"/>
      <c r="I93" s="2483"/>
      <c r="J93" s="2482"/>
      <c r="K93" s="2482"/>
      <c r="L93" s="2483"/>
      <c r="M93" s="2482"/>
      <c r="N93" s="2482"/>
      <c r="O93" s="2483"/>
      <c r="P93" s="2482"/>
      <c r="Q93" s="2482"/>
      <c r="R93" s="2484"/>
    </row>
    <row r="94" spans="2:18" s="797" customFormat="1">
      <c r="B94" s="2482"/>
      <c r="C94" s="2482"/>
      <c r="D94" s="2482"/>
      <c r="E94" s="2482"/>
      <c r="F94" s="2482"/>
      <c r="G94" s="2483"/>
      <c r="H94" s="2482"/>
      <c r="I94" s="2483"/>
      <c r="J94" s="2482"/>
      <c r="K94" s="2482"/>
      <c r="L94" s="2483"/>
      <c r="M94" s="2482"/>
      <c r="N94" s="2482"/>
      <c r="O94" s="2483"/>
      <c r="P94" s="2482"/>
      <c r="Q94" s="2482"/>
      <c r="R94" s="2484"/>
    </row>
    <row r="95" spans="2:18" s="797" customFormat="1">
      <c r="B95" s="2482"/>
      <c r="C95" s="2482"/>
      <c r="D95" s="2482"/>
      <c r="E95" s="2482"/>
      <c r="F95" s="2482"/>
      <c r="G95" s="2483"/>
      <c r="H95" s="2482"/>
      <c r="I95" s="2483"/>
      <c r="J95" s="2482"/>
      <c r="K95" s="2482"/>
      <c r="L95" s="2483"/>
      <c r="M95" s="2482"/>
      <c r="N95" s="2482"/>
      <c r="O95" s="2483"/>
      <c r="P95" s="2482"/>
      <c r="Q95" s="2482"/>
      <c r="R95" s="2484"/>
    </row>
    <row r="96" spans="2:18" s="797" customFormat="1">
      <c r="B96" s="2482"/>
      <c r="C96" s="2482"/>
      <c r="D96" s="2482"/>
      <c r="E96" s="2482"/>
      <c r="F96" s="2482"/>
      <c r="G96" s="2483"/>
      <c r="H96" s="2482"/>
      <c r="I96" s="2483"/>
      <c r="J96" s="2482"/>
      <c r="K96" s="2482"/>
      <c r="L96" s="2483"/>
      <c r="M96" s="2482"/>
      <c r="N96" s="2482"/>
      <c r="O96" s="2483"/>
      <c r="P96" s="2482"/>
      <c r="Q96" s="2482"/>
      <c r="R96" s="2484"/>
    </row>
    <row r="97" spans="2:18" s="797" customFormat="1">
      <c r="B97" s="2482"/>
      <c r="C97" s="2482"/>
      <c r="D97" s="2482"/>
      <c r="E97" s="2482"/>
      <c r="F97" s="2482"/>
      <c r="G97" s="2483"/>
      <c r="H97" s="2482"/>
      <c r="I97" s="2483"/>
      <c r="J97" s="2482"/>
      <c r="K97" s="2482"/>
      <c r="L97" s="2483"/>
      <c r="M97" s="2482"/>
      <c r="N97" s="2482"/>
      <c r="O97" s="2483"/>
      <c r="P97" s="2482"/>
      <c r="Q97" s="2482"/>
      <c r="R97" s="2484"/>
    </row>
    <row r="98" spans="2:18" s="797" customFormat="1">
      <c r="B98" s="2482"/>
      <c r="C98" s="2482"/>
      <c r="D98" s="2482"/>
      <c r="E98" s="2482"/>
      <c r="F98" s="2482"/>
      <c r="G98" s="2483"/>
      <c r="H98" s="2482"/>
      <c r="I98" s="2483"/>
      <c r="J98" s="2482"/>
      <c r="K98" s="2482"/>
      <c r="L98" s="2483"/>
      <c r="M98" s="2482"/>
      <c r="N98" s="2482"/>
      <c r="O98" s="2483"/>
      <c r="P98" s="2482"/>
      <c r="Q98" s="2482"/>
      <c r="R98" s="2484"/>
    </row>
    <row r="99" spans="2:18" s="797" customFormat="1">
      <c r="B99" s="2482"/>
      <c r="C99" s="2482"/>
      <c r="D99" s="2482"/>
      <c r="E99" s="2482"/>
      <c r="F99" s="2482"/>
      <c r="G99" s="2483"/>
      <c r="H99" s="2482"/>
      <c r="I99" s="2483"/>
      <c r="J99" s="2482"/>
      <c r="K99" s="2482"/>
      <c r="L99" s="2483"/>
      <c r="M99" s="2482"/>
      <c r="N99" s="2482"/>
      <c r="O99" s="2483"/>
      <c r="P99" s="2482"/>
      <c r="Q99" s="2482"/>
      <c r="R99" s="2484"/>
    </row>
    <row r="100" spans="2:18" s="797" customFormat="1">
      <c r="B100" s="2482"/>
      <c r="C100" s="2482"/>
      <c r="D100" s="2482"/>
      <c r="E100" s="2482"/>
      <c r="F100" s="2482"/>
      <c r="G100" s="2483"/>
      <c r="H100" s="2482"/>
      <c r="I100" s="2483"/>
      <c r="J100" s="2482"/>
      <c r="K100" s="2482"/>
      <c r="L100" s="2483"/>
      <c r="M100" s="2482"/>
      <c r="N100" s="2482"/>
      <c r="O100" s="2483"/>
      <c r="P100" s="2482"/>
      <c r="Q100" s="2482"/>
      <c r="R100" s="2484"/>
    </row>
    <row r="101" spans="2:18" s="797" customFormat="1">
      <c r="B101" s="2482"/>
      <c r="C101" s="2482"/>
      <c r="D101" s="2482"/>
      <c r="E101" s="2482"/>
      <c r="F101" s="2482"/>
      <c r="G101" s="2483"/>
      <c r="H101" s="2482"/>
      <c r="I101" s="2483"/>
      <c r="J101" s="2482"/>
      <c r="K101" s="2482"/>
      <c r="L101" s="2483"/>
      <c r="M101" s="2482"/>
      <c r="N101" s="2482"/>
      <c r="O101" s="2483"/>
      <c r="P101" s="2482"/>
      <c r="Q101" s="2482"/>
      <c r="R101" s="2484"/>
    </row>
    <row r="102" spans="2:18" s="797" customFormat="1">
      <c r="B102" s="2482"/>
      <c r="C102" s="2482"/>
      <c r="D102" s="2482"/>
      <c r="E102" s="2482"/>
      <c r="F102" s="2482"/>
      <c r="G102" s="2483"/>
      <c r="H102" s="2482"/>
      <c r="I102" s="2483"/>
      <c r="J102" s="2482"/>
      <c r="K102" s="2482"/>
      <c r="L102" s="2483"/>
      <c r="M102" s="2482"/>
      <c r="N102" s="2482"/>
      <c r="O102" s="2483"/>
      <c r="P102" s="2482"/>
      <c r="Q102" s="2482"/>
      <c r="R102" s="2484"/>
    </row>
    <row r="103" spans="2:18" s="797" customFormat="1">
      <c r="B103" s="2482"/>
      <c r="C103" s="2482"/>
      <c r="D103" s="2482"/>
      <c r="E103" s="2482"/>
      <c r="F103" s="2482"/>
      <c r="G103" s="2483"/>
      <c r="H103" s="2482"/>
      <c r="I103" s="2483"/>
      <c r="J103" s="2482"/>
      <c r="K103" s="2482"/>
      <c r="L103" s="2483"/>
      <c r="M103" s="2482"/>
      <c r="N103" s="2482"/>
      <c r="O103" s="2483"/>
      <c r="P103" s="2482"/>
      <c r="Q103" s="2482"/>
      <c r="R103" s="2484"/>
    </row>
    <row r="104" spans="2:18" s="797" customFormat="1">
      <c r="B104" s="2482"/>
      <c r="C104" s="2482"/>
      <c r="D104" s="2482"/>
      <c r="E104" s="2482"/>
      <c r="F104" s="2482"/>
      <c r="G104" s="2483"/>
      <c r="H104" s="2482"/>
      <c r="I104" s="2483"/>
      <c r="J104" s="2482"/>
      <c r="K104" s="2482"/>
      <c r="L104" s="2483"/>
      <c r="M104" s="2482"/>
      <c r="N104" s="2482"/>
      <c r="O104" s="2483"/>
      <c r="P104" s="2482"/>
      <c r="Q104" s="2482"/>
      <c r="R104" s="2484"/>
    </row>
    <row r="105" spans="2:18" s="797" customFormat="1">
      <c r="B105" s="2482"/>
      <c r="C105" s="2482"/>
      <c r="D105" s="2482"/>
      <c r="E105" s="2482"/>
      <c r="F105" s="2482"/>
      <c r="G105" s="2483"/>
      <c r="H105" s="2482"/>
      <c r="I105" s="2483"/>
      <c r="J105" s="2482"/>
      <c r="K105" s="2482"/>
      <c r="L105" s="2483"/>
      <c r="M105" s="2482"/>
      <c r="N105" s="2482"/>
      <c r="O105" s="2483"/>
      <c r="P105" s="2482"/>
      <c r="Q105" s="2482"/>
      <c r="R105" s="2484"/>
    </row>
    <row r="106" spans="2:18" s="797" customFormat="1">
      <c r="B106" s="2482"/>
      <c r="C106" s="2482"/>
      <c r="D106" s="2482"/>
      <c r="E106" s="2482"/>
      <c r="F106" s="2482"/>
      <c r="G106" s="2483"/>
      <c r="H106" s="2482"/>
      <c r="I106" s="2483"/>
      <c r="J106" s="2482"/>
      <c r="K106" s="2482"/>
      <c r="L106" s="2483"/>
      <c r="M106" s="2482"/>
      <c r="N106" s="2482"/>
      <c r="O106" s="2483"/>
      <c r="P106" s="2482"/>
      <c r="Q106" s="2482"/>
      <c r="R106" s="2484"/>
    </row>
    <row r="107" spans="2:18" s="797" customFormat="1">
      <c r="B107" s="2482"/>
      <c r="C107" s="2482"/>
      <c r="D107" s="2482"/>
      <c r="E107" s="2482"/>
      <c r="F107" s="2482"/>
      <c r="G107" s="2483"/>
      <c r="H107" s="2482"/>
      <c r="I107" s="2483"/>
      <c r="J107" s="2482"/>
      <c r="K107" s="2482"/>
      <c r="L107" s="2483"/>
      <c r="M107" s="2482"/>
      <c r="N107" s="2482"/>
      <c r="O107" s="2483"/>
      <c r="P107" s="2482"/>
      <c r="Q107" s="2482"/>
      <c r="R107" s="2484"/>
    </row>
    <row r="108" spans="2:18" s="797" customFormat="1">
      <c r="B108" s="2482"/>
      <c r="C108" s="2482"/>
      <c r="D108" s="2482"/>
      <c r="E108" s="2482"/>
      <c r="F108" s="2482"/>
      <c r="G108" s="2483"/>
      <c r="H108" s="2482"/>
      <c r="I108" s="2483"/>
      <c r="J108" s="2482"/>
      <c r="K108" s="2482"/>
      <c r="L108" s="2483"/>
      <c r="M108" s="2482"/>
      <c r="N108" s="2482"/>
      <c r="O108" s="2483"/>
      <c r="P108" s="2482"/>
      <c r="Q108" s="2482"/>
      <c r="R108" s="2484"/>
    </row>
    <row r="109" spans="2:18" s="797" customFormat="1">
      <c r="B109" s="2482"/>
      <c r="C109" s="2482"/>
      <c r="D109" s="2482"/>
      <c r="E109" s="2482"/>
      <c r="F109" s="2482"/>
      <c r="G109" s="2483"/>
      <c r="H109" s="2482"/>
      <c r="I109" s="2483"/>
      <c r="J109" s="2482"/>
      <c r="K109" s="2482"/>
      <c r="L109" s="2483"/>
      <c r="M109" s="2482"/>
      <c r="N109" s="2482"/>
      <c r="O109" s="2483"/>
      <c r="P109" s="2482"/>
      <c r="Q109" s="2482"/>
      <c r="R109" s="2484"/>
    </row>
    <row r="110" spans="2:18" s="797" customFormat="1">
      <c r="B110" s="2482"/>
      <c r="C110" s="2482"/>
      <c r="D110" s="2482"/>
      <c r="E110" s="2482"/>
      <c r="F110" s="2482"/>
      <c r="G110" s="2483"/>
      <c r="H110" s="2482"/>
      <c r="I110" s="2483"/>
      <c r="J110" s="2482"/>
      <c r="K110" s="2482"/>
      <c r="L110" s="2483"/>
      <c r="M110" s="2482"/>
      <c r="N110" s="2482"/>
      <c r="O110" s="2483"/>
      <c r="P110" s="2482"/>
      <c r="Q110" s="2482"/>
      <c r="R110" s="2484"/>
    </row>
    <row r="111" spans="2:18" s="797" customFormat="1">
      <c r="B111" s="2482"/>
      <c r="C111" s="2482"/>
      <c r="D111" s="2482"/>
      <c r="E111" s="2482"/>
      <c r="F111" s="2482"/>
      <c r="G111" s="2483"/>
      <c r="H111" s="2482"/>
      <c r="I111" s="2483"/>
      <c r="J111" s="2482"/>
      <c r="K111" s="2482"/>
      <c r="L111" s="2483"/>
      <c r="M111" s="2482"/>
      <c r="N111" s="2482"/>
      <c r="O111" s="2483"/>
      <c r="P111" s="2482"/>
      <c r="Q111" s="2482"/>
      <c r="R111" s="2484"/>
    </row>
    <row r="112" spans="2:18" s="797" customFormat="1">
      <c r="B112" s="2482"/>
      <c r="C112" s="2482"/>
      <c r="D112" s="2482"/>
      <c r="E112" s="2482"/>
      <c r="F112" s="2482"/>
      <c r="G112" s="2483"/>
      <c r="H112" s="2482"/>
      <c r="I112" s="2483"/>
      <c r="J112" s="2482"/>
      <c r="K112" s="2482"/>
      <c r="L112" s="2483"/>
      <c r="M112" s="2482"/>
      <c r="N112" s="2482"/>
      <c r="O112" s="2483"/>
      <c r="P112" s="2482"/>
      <c r="Q112" s="2482"/>
      <c r="R112" s="2484"/>
    </row>
    <row r="113" spans="2:18" s="797" customFormat="1">
      <c r="B113" s="2482"/>
      <c r="C113" s="2482"/>
      <c r="D113" s="2482"/>
      <c r="E113" s="2482"/>
      <c r="F113" s="2482"/>
      <c r="G113" s="2483"/>
      <c r="H113" s="2482"/>
      <c r="I113" s="2483"/>
      <c r="J113" s="2482"/>
      <c r="K113" s="2482"/>
      <c r="L113" s="2483"/>
      <c r="M113" s="2482"/>
      <c r="N113" s="2482"/>
      <c r="O113" s="2483"/>
      <c r="P113" s="2482"/>
      <c r="Q113" s="2482"/>
      <c r="R113" s="2484"/>
    </row>
    <row r="114" spans="2:18" s="797" customFormat="1">
      <c r="B114" s="2482"/>
      <c r="C114" s="2482"/>
      <c r="D114" s="2482"/>
      <c r="E114" s="2482"/>
      <c r="F114" s="2482"/>
      <c r="G114" s="2483"/>
      <c r="H114" s="2482"/>
      <c r="I114" s="2483"/>
      <c r="J114" s="2482"/>
      <c r="K114" s="2482"/>
      <c r="L114" s="2483"/>
      <c r="M114" s="2482"/>
      <c r="N114" s="2482"/>
      <c r="O114" s="2483"/>
      <c r="P114" s="2482"/>
      <c r="Q114" s="2482"/>
      <c r="R114" s="2484"/>
    </row>
    <row r="115" spans="2:18" s="797" customFormat="1">
      <c r="B115" s="2482"/>
      <c r="C115" s="2482"/>
      <c r="D115" s="2482"/>
      <c r="E115" s="2482"/>
      <c r="F115" s="2482"/>
      <c r="G115" s="2483"/>
      <c r="H115" s="2482"/>
      <c r="I115" s="2483"/>
      <c r="J115" s="2482"/>
      <c r="K115" s="2482"/>
      <c r="L115" s="2483"/>
      <c r="M115" s="2482"/>
      <c r="N115" s="2482"/>
      <c r="O115" s="2483"/>
      <c r="P115" s="2482"/>
      <c r="Q115" s="2482"/>
      <c r="R115" s="2484"/>
    </row>
    <row r="116" spans="2:18" s="797" customFormat="1">
      <c r="B116" s="2482"/>
      <c r="C116" s="2482"/>
      <c r="D116" s="2482"/>
      <c r="E116" s="2482"/>
      <c r="F116" s="2482"/>
      <c r="G116" s="2483"/>
      <c r="H116" s="2482"/>
      <c r="I116" s="2483"/>
      <c r="J116" s="2482"/>
      <c r="K116" s="2482"/>
      <c r="L116" s="2483"/>
      <c r="M116" s="2482"/>
      <c r="N116" s="2482"/>
      <c r="O116" s="2483"/>
      <c r="P116" s="2482"/>
      <c r="Q116" s="2482"/>
      <c r="R116" s="2484"/>
    </row>
    <row r="117" spans="2:18" s="797" customFormat="1">
      <c r="B117" s="2482"/>
      <c r="C117" s="2482"/>
      <c r="D117" s="2482"/>
      <c r="E117" s="2482"/>
      <c r="F117" s="2482"/>
      <c r="G117" s="2483"/>
      <c r="H117" s="2482"/>
      <c r="I117" s="2483"/>
      <c r="J117" s="2482"/>
      <c r="K117" s="2482"/>
      <c r="L117" s="2483"/>
      <c r="M117" s="2482"/>
      <c r="N117" s="2482"/>
      <c r="O117" s="2483"/>
      <c r="P117" s="2482"/>
      <c r="Q117" s="2482"/>
      <c r="R117" s="2484"/>
    </row>
    <row r="118" spans="2:18" s="797" customFormat="1">
      <c r="B118" s="2482"/>
      <c r="C118" s="2482"/>
      <c r="D118" s="2482"/>
      <c r="E118" s="2482"/>
      <c r="F118" s="2482"/>
      <c r="G118" s="2483"/>
      <c r="H118" s="2482"/>
      <c r="I118" s="2483"/>
      <c r="J118" s="2482"/>
      <c r="K118" s="2482"/>
      <c r="L118" s="2483"/>
      <c r="M118" s="2482"/>
      <c r="N118" s="2482"/>
      <c r="O118" s="2483"/>
      <c r="P118" s="2482"/>
      <c r="Q118" s="2482"/>
      <c r="R118" s="2484"/>
    </row>
    <row r="119" spans="2:18" s="797" customFormat="1">
      <c r="B119" s="2482"/>
      <c r="C119" s="2482"/>
      <c r="D119" s="2482"/>
      <c r="E119" s="2482"/>
      <c r="F119" s="2482"/>
      <c r="G119" s="2483"/>
      <c r="H119" s="2482"/>
      <c r="I119" s="2483"/>
      <c r="J119" s="2482"/>
      <c r="K119" s="2482"/>
      <c r="L119" s="2483"/>
      <c r="M119" s="2482"/>
      <c r="N119" s="2482"/>
      <c r="O119" s="2483"/>
      <c r="P119" s="2482"/>
      <c r="Q119" s="2482"/>
      <c r="R119" s="2484"/>
    </row>
    <row r="120" spans="2:18" s="797" customFormat="1">
      <c r="B120" s="2482"/>
      <c r="C120" s="2482"/>
      <c r="D120" s="2482"/>
      <c r="E120" s="2482"/>
      <c r="F120" s="2482"/>
      <c r="G120" s="2483"/>
      <c r="H120" s="2482"/>
      <c r="I120" s="2483"/>
      <c r="J120" s="2482"/>
      <c r="K120" s="2482"/>
      <c r="L120" s="2483"/>
      <c r="M120" s="2482"/>
      <c r="N120" s="2482"/>
      <c r="O120" s="2483"/>
      <c r="P120" s="2482"/>
      <c r="Q120" s="2482"/>
      <c r="R120" s="2484"/>
    </row>
    <row r="121" spans="2:18" s="797" customFormat="1">
      <c r="B121" s="2482"/>
      <c r="C121" s="2482"/>
      <c r="D121" s="2482"/>
      <c r="E121" s="2482"/>
      <c r="F121" s="2482"/>
      <c r="G121" s="2483"/>
      <c r="H121" s="2482"/>
      <c r="I121" s="2483"/>
      <c r="J121" s="2482"/>
      <c r="K121" s="2482"/>
      <c r="L121" s="2483"/>
      <c r="M121" s="2482"/>
      <c r="N121" s="2482"/>
      <c r="O121" s="2483"/>
      <c r="P121" s="2482"/>
      <c r="Q121" s="2482"/>
      <c r="R121" s="2484"/>
    </row>
    <row r="122" spans="2:18" s="797" customFormat="1">
      <c r="B122" s="2482"/>
      <c r="C122" s="2482"/>
      <c r="D122" s="2482"/>
      <c r="E122" s="2482"/>
      <c r="F122" s="2482"/>
      <c r="G122" s="2483"/>
      <c r="H122" s="2482"/>
      <c r="I122" s="2483"/>
      <c r="J122" s="2482"/>
      <c r="K122" s="2482"/>
      <c r="L122" s="2483"/>
      <c r="M122" s="2482"/>
      <c r="N122" s="2482"/>
      <c r="O122" s="2483"/>
      <c r="P122" s="2482"/>
      <c r="Q122" s="2482"/>
      <c r="R122" s="2484"/>
    </row>
    <row r="123" spans="2:18" s="797" customFormat="1">
      <c r="B123" s="2482"/>
      <c r="C123" s="2482"/>
      <c r="D123" s="2482"/>
      <c r="E123" s="2482"/>
      <c r="F123" s="2482"/>
      <c r="G123" s="2483"/>
      <c r="H123" s="2482"/>
      <c r="I123" s="2483"/>
      <c r="J123" s="2482"/>
      <c r="K123" s="2482"/>
      <c r="L123" s="2483"/>
      <c r="M123" s="2482"/>
      <c r="N123" s="2482"/>
      <c r="O123" s="2483"/>
      <c r="P123" s="2482"/>
      <c r="Q123" s="2482"/>
      <c r="R123" s="2484"/>
    </row>
    <row r="124" spans="2:18" s="797" customFormat="1">
      <c r="B124" s="2482"/>
      <c r="C124" s="2482"/>
      <c r="D124" s="2482"/>
      <c r="E124" s="2482"/>
      <c r="F124" s="2482"/>
      <c r="G124" s="2483"/>
      <c r="H124" s="2482"/>
      <c r="I124" s="2483"/>
      <c r="J124" s="2482"/>
      <c r="K124" s="2482"/>
      <c r="L124" s="2483"/>
      <c r="M124" s="2482"/>
      <c r="N124" s="2482"/>
      <c r="O124" s="2483"/>
      <c r="P124" s="2482"/>
      <c r="Q124" s="2482"/>
      <c r="R124" s="2484"/>
    </row>
    <row r="125" spans="2:18" s="797" customFormat="1">
      <c r="B125" s="2482"/>
      <c r="C125" s="2482"/>
      <c r="D125" s="2482"/>
      <c r="E125" s="2482"/>
      <c r="F125" s="2482"/>
      <c r="G125" s="2483"/>
      <c r="H125" s="2482"/>
      <c r="I125" s="2483"/>
      <c r="J125" s="2482"/>
      <c r="K125" s="2482"/>
      <c r="L125" s="2483"/>
      <c r="M125" s="2482"/>
      <c r="N125" s="2482"/>
      <c r="O125" s="2483"/>
      <c r="P125" s="2482"/>
      <c r="Q125" s="2482"/>
      <c r="R125" s="2484"/>
    </row>
    <row r="126" spans="2:18" s="797" customFormat="1">
      <c r="B126" s="2482"/>
      <c r="C126" s="2482"/>
      <c r="D126" s="2482"/>
      <c r="E126" s="2482"/>
      <c r="F126" s="2482"/>
      <c r="G126" s="2483"/>
      <c r="H126" s="2482"/>
      <c r="I126" s="2483"/>
      <c r="J126" s="2482"/>
      <c r="K126" s="2482"/>
      <c r="L126" s="2483"/>
      <c r="M126" s="2482"/>
      <c r="N126" s="2482"/>
      <c r="O126" s="2483"/>
      <c r="P126" s="2482"/>
      <c r="Q126" s="2482"/>
      <c r="R126" s="2484"/>
    </row>
    <row r="127" spans="2:18" s="797" customFormat="1">
      <c r="B127" s="2482"/>
      <c r="C127" s="2482"/>
      <c r="D127" s="2482"/>
      <c r="E127" s="2482"/>
      <c r="F127" s="2482"/>
      <c r="G127" s="2483"/>
      <c r="H127" s="2482"/>
      <c r="I127" s="2483"/>
      <c r="J127" s="2482"/>
      <c r="K127" s="2482"/>
      <c r="L127" s="2483"/>
      <c r="M127" s="2482"/>
      <c r="N127" s="2482"/>
      <c r="O127" s="2483"/>
      <c r="P127" s="2482"/>
      <c r="Q127" s="2482"/>
      <c r="R127" s="2484"/>
    </row>
    <row r="128" spans="2:18" s="797" customFormat="1">
      <c r="B128" s="2482"/>
      <c r="C128" s="2482"/>
      <c r="D128" s="2482"/>
      <c r="E128" s="2482"/>
      <c r="F128" s="2482"/>
      <c r="G128" s="2483"/>
      <c r="H128" s="2482"/>
      <c r="I128" s="2483"/>
      <c r="J128" s="2482"/>
      <c r="K128" s="2482"/>
      <c r="L128" s="2483"/>
      <c r="M128" s="2482"/>
      <c r="N128" s="2482"/>
      <c r="O128" s="2483"/>
      <c r="P128" s="2482"/>
      <c r="Q128" s="2482"/>
      <c r="R128" s="2484"/>
    </row>
    <row r="129" spans="2:18" s="797" customFormat="1">
      <c r="B129" s="2482"/>
      <c r="C129" s="2482"/>
      <c r="D129" s="2482"/>
      <c r="E129" s="2482"/>
      <c r="F129" s="2482"/>
      <c r="G129" s="2483"/>
      <c r="H129" s="2482"/>
      <c r="I129" s="2483"/>
      <c r="J129" s="2482"/>
      <c r="K129" s="2482"/>
      <c r="L129" s="2483"/>
      <c r="M129" s="2482"/>
      <c r="N129" s="2482"/>
      <c r="O129" s="2483"/>
      <c r="P129" s="2482"/>
      <c r="Q129" s="2482"/>
      <c r="R129" s="2484"/>
    </row>
    <row r="130" spans="2:18" s="797" customFormat="1">
      <c r="B130" s="2482"/>
      <c r="C130" s="2482"/>
      <c r="D130" s="2482"/>
      <c r="E130" s="2482"/>
      <c r="F130" s="2482"/>
      <c r="G130" s="2483"/>
      <c r="H130" s="2482"/>
      <c r="I130" s="2483"/>
      <c r="J130" s="2482"/>
      <c r="K130" s="2482"/>
      <c r="L130" s="2483"/>
      <c r="M130" s="2482"/>
      <c r="N130" s="2482"/>
      <c r="O130" s="2483"/>
      <c r="P130" s="2482"/>
      <c r="Q130" s="2482"/>
      <c r="R130" s="2484"/>
    </row>
    <row r="131" spans="2:18" s="797" customFormat="1">
      <c r="B131" s="2482"/>
      <c r="C131" s="2482"/>
      <c r="D131" s="2482"/>
      <c r="E131" s="2482"/>
      <c r="F131" s="2482"/>
      <c r="G131" s="2483"/>
      <c r="H131" s="2482"/>
      <c r="I131" s="2483"/>
      <c r="J131" s="2482"/>
      <c r="K131" s="2482"/>
      <c r="L131" s="2483"/>
      <c r="M131" s="2482"/>
      <c r="N131" s="2482"/>
      <c r="O131" s="2483"/>
      <c r="P131" s="2482"/>
      <c r="Q131" s="2482"/>
      <c r="R131" s="2484"/>
    </row>
    <row r="132" spans="2:18" s="797" customFormat="1">
      <c r="B132" s="2482"/>
      <c r="C132" s="2482"/>
      <c r="D132" s="2482"/>
      <c r="E132" s="2482"/>
      <c r="F132" s="2482"/>
      <c r="G132" s="2483"/>
      <c r="H132" s="2482"/>
      <c r="I132" s="2483"/>
      <c r="J132" s="2482"/>
      <c r="K132" s="2482"/>
      <c r="L132" s="2483"/>
      <c r="M132" s="2482"/>
      <c r="N132" s="2482"/>
      <c r="O132" s="2483"/>
      <c r="P132" s="2482"/>
      <c r="Q132" s="2482"/>
      <c r="R132" s="2484"/>
    </row>
    <row r="133" spans="2:18" s="797" customFormat="1">
      <c r="B133" s="2482"/>
      <c r="C133" s="2482"/>
      <c r="D133" s="2482"/>
      <c r="E133" s="2482"/>
      <c r="F133" s="2482"/>
      <c r="G133" s="2483"/>
      <c r="H133" s="2482"/>
      <c r="I133" s="2483"/>
      <c r="J133" s="2482"/>
      <c r="K133" s="2482"/>
      <c r="L133" s="2483"/>
      <c r="M133" s="2482"/>
      <c r="N133" s="2482"/>
      <c r="O133" s="2483"/>
      <c r="P133" s="2482"/>
      <c r="Q133" s="2482"/>
      <c r="R133" s="2484"/>
    </row>
    <row r="134" spans="2:18" s="797" customFormat="1">
      <c r="B134" s="2482"/>
      <c r="C134" s="2482"/>
      <c r="D134" s="2482"/>
      <c r="E134" s="2482"/>
      <c r="F134" s="2482"/>
      <c r="G134" s="2483"/>
      <c r="H134" s="2482"/>
      <c r="I134" s="2483"/>
      <c r="J134" s="2482"/>
      <c r="K134" s="2482"/>
      <c r="L134" s="2483"/>
      <c r="M134" s="2482"/>
      <c r="N134" s="2482"/>
      <c r="O134" s="2483"/>
      <c r="P134" s="2482"/>
      <c r="Q134" s="2482"/>
      <c r="R134" s="2484"/>
    </row>
    <row r="135" spans="2:18" s="797" customFormat="1">
      <c r="B135" s="2482"/>
      <c r="C135" s="2482"/>
      <c r="D135" s="2482"/>
      <c r="E135" s="2482"/>
      <c r="F135" s="2482"/>
      <c r="G135" s="2483"/>
      <c r="H135" s="2482"/>
      <c r="I135" s="2483"/>
      <c r="J135" s="2482"/>
      <c r="K135" s="2482"/>
      <c r="L135" s="2483"/>
      <c r="M135" s="2482"/>
      <c r="N135" s="2482"/>
      <c r="O135" s="2483"/>
      <c r="P135" s="2482"/>
      <c r="Q135" s="2482"/>
      <c r="R135" s="2484"/>
    </row>
    <row r="136" spans="2:18" s="797" customFormat="1">
      <c r="B136" s="2482"/>
      <c r="C136" s="2482"/>
      <c r="D136" s="2482"/>
      <c r="E136" s="2482"/>
      <c r="F136" s="2482"/>
      <c r="G136" s="2483"/>
      <c r="H136" s="2482"/>
      <c r="I136" s="2483"/>
      <c r="J136" s="2482"/>
      <c r="K136" s="2482"/>
      <c r="L136" s="2483"/>
      <c r="M136" s="2482"/>
      <c r="N136" s="2482"/>
      <c r="O136" s="2483"/>
      <c r="P136" s="2482"/>
      <c r="Q136" s="2482"/>
      <c r="R136" s="2484"/>
    </row>
    <row r="137" spans="2:18" s="797" customFormat="1">
      <c r="B137" s="2482"/>
      <c r="C137" s="2482"/>
      <c r="D137" s="2482"/>
      <c r="E137" s="2482"/>
      <c r="F137" s="2482"/>
      <c r="G137" s="2483"/>
      <c r="H137" s="2482"/>
      <c r="I137" s="2483"/>
      <c r="J137" s="2482"/>
      <c r="K137" s="2482"/>
      <c r="L137" s="2483"/>
      <c r="M137" s="2482"/>
      <c r="N137" s="2482"/>
      <c r="O137" s="2483"/>
      <c r="P137" s="2482"/>
      <c r="Q137" s="2482"/>
      <c r="R137" s="2484"/>
    </row>
    <row r="138" spans="2:18" s="797" customFormat="1">
      <c r="B138" s="2482"/>
      <c r="C138" s="2482"/>
      <c r="D138" s="2482"/>
      <c r="E138" s="2482"/>
      <c r="F138" s="2482"/>
      <c r="G138" s="2483"/>
      <c r="H138" s="2482"/>
      <c r="I138" s="2483"/>
      <c r="J138" s="2482"/>
      <c r="K138" s="2482"/>
      <c r="L138" s="2483"/>
      <c r="M138" s="2482"/>
      <c r="N138" s="2482"/>
      <c r="O138" s="2483"/>
      <c r="P138" s="2482"/>
      <c r="Q138" s="2482"/>
      <c r="R138" s="2484"/>
    </row>
    <row r="139" spans="2:18" s="797" customFormat="1">
      <c r="B139" s="2482"/>
      <c r="C139" s="2482"/>
      <c r="D139" s="2482"/>
      <c r="E139" s="2482"/>
      <c r="F139" s="2482"/>
      <c r="G139" s="2483"/>
      <c r="H139" s="2482"/>
      <c r="I139" s="2483"/>
      <c r="J139" s="2482"/>
      <c r="K139" s="2482"/>
      <c r="L139" s="2483"/>
      <c r="M139" s="2482"/>
      <c r="N139" s="2482"/>
      <c r="O139" s="2483"/>
      <c r="P139" s="2482"/>
      <c r="Q139" s="2482"/>
      <c r="R139" s="2484"/>
    </row>
    <row r="140" spans="2:18" s="797" customFormat="1">
      <c r="B140" s="2482"/>
      <c r="C140" s="2482"/>
      <c r="D140" s="2482"/>
      <c r="E140" s="2482"/>
      <c r="F140" s="2482"/>
      <c r="G140" s="2483"/>
      <c r="H140" s="2482"/>
      <c r="I140" s="2483"/>
      <c r="J140" s="2482"/>
      <c r="K140" s="2482"/>
      <c r="L140" s="2483"/>
      <c r="M140" s="2482"/>
      <c r="N140" s="2482"/>
      <c r="O140" s="2483"/>
      <c r="P140" s="2482"/>
      <c r="Q140" s="2482"/>
      <c r="R140" s="2484"/>
    </row>
    <row r="141" spans="2:18" s="797" customFormat="1">
      <c r="B141" s="2482"/>
      <c r="C141" s="2482"/>
      <c r="D141" s="2482"/>
      <c r="E141" s="2482"/>
      <c r="F141" s="2482"/>
      <c r="G141" s="2483"/>
      <c r="H141" s="2482"/>
      <c r="I141" s="2483"/>
      <c r="J141" s="2482"/>
      <c r="K141" s="2482"/>
      <c r="L141" s="2483"/>
      <c r="M141" s="2482"/>
      <c r="N141" s="2482"/>
      <c r="O141" s="2483"/>
      <c r="P141" s="2482"/>
      <c r="Q141" s="2482"/>
      <c r="R141" s="2484"/>
    </row>
    <row r="142" spans="2:18" s="797" customFormat="1">
      <c r="B142" s="2482"/>
      <c r="C142" s="2482"/>
      <c r="D142" s="2482"/>
      <c r="E142" s="2482"/>
      <c r="F142" s="2482"/>
      <c r="G142" s="2483"/>
      <c r="H142" s="2482"/>
      <c r="I142" s="2483"/>
      <c r="J142" s="2482"/>
      <c r="K142" s="2482"/>
      <c r="L142" s="2483"/>
      <c r="M142" s="2482"/>
      <c r="N142" s="2482"/>
      <c r="O142" s="2483"/>
      <c r="P142" s="2482"/>
      <c r="Q142" s="2482"/>
      <c r="R142" s="2484"/>
    </row>
    <row r="143" spans="2:18" s="797" customFormat="1">
      <c r="B143" s="2482"/>
      <c r="C143" s="2482"/>
      <c r="D143" s="2482"/>
      <c r="E143" s="2482"/>
      <c r="F143" s="2482"/>
      <c r="G143" s="2483"/>
      <c r="H143" s="2482"/>
      <c r="I143" s="2483"/>
      <c r="J143" s="2482"/>
      <c r="K143" s="2482"/>
      <c r="L143" s="2483"/>
      <c r="M143" s="2482"/>
      <c r="N143" s="2482"/>
      <c r="O143" s="2483"/>
      <c r="P143" s="2482"/>
      <c r="Q143" s="2482"/>
      <c r="R143" s="2484"/>
    </row>
    <row r="144" spans="2:18" s="797" customFormat="1">
      <c r="B144" s="2482"/>
      <c r="C144" s="2482"/>
      <c r="D144" s="2482"/>
      <c r="E144" s="2482"/>
      <c r="F144" s="2482"/>
      <c r="G144" s="2483"/>
      <c r="H144" s="2482"/>
      <c r="I144" s="2483"/>
      <c r="J144" s="2482"/>
      <c r="K144" s="2482"/>
      <c r="L144" s="2483"/>
      <c r="M144" s="2482"/>
      <c r="N144" s="2482"/>
      <c r="O144" s="2483"/>
      <c r="P144" s="2482"/>
      <c r="Q144" s="2482"/>
      <c r="R144" s="2484"/>
    </row>
    <row r="145" spans="2:18" s="797" customFormat="1">
      <c r="B145" s="2482"/>
      <c r="C145" s="2482"/>
      <c r="D145" s="2482"/>
      <c r="E145" s="2482"/>
      <c r="F145" s="2482"/>
      <c r="G145" s="2483"/>
      <c r="H145" s="2482"/>
      <c r="I145" s="2483"/>
      <c r="J145" s="2482"/>
      <c r="K145" s="2482"/>
      <c r="L145" s="2483"/>
      <c r="M145" s="2482"/>
      <c r="N145" s="2482"/>
      <c r="O145" s="2483"/>
      <c r="P145" s="2482"/>
      <c r="Q145" s="2482"/>
      <c r="R145" s="2484"/>
    </row>
    <row r="146" spans="2:18" s="797" customFormat="1">
      <c r="B146" s="2482"/>
      <c r="C146" s="2482"/>
      <c r="D146" s="2482"/>
      <c r="E146" s="2482"/>
      <c r="F146" s="2482"/>
      <c r="G146" s="2483"/>
      <c r="H146" s="2482"/>
      <c r="I146" s="2483"/>
      <c r="J146" s="2482"/>
      <c r="K146" s="2482"/>
      <c r="L146" s="2483"/>
      <c r="M146" s="2482"/>
      <c r="N146" s="2482"/>
      <c r="O146" s="2483"/>
      <c r="P146" s="2482"/>
      <c r="Q146" s="2482"/>
      <c r="R146" s="2484"/>
    </row>
    <row r="147" spans="2:18" s="797" customFormat="1">
      <c r="B147" s="2482"/>
      <c r="C147" s="2482"/>
      <c r="D147" s="2482"/>
      <c r="E147" s="2482"/>
      <c r="F147" s="2482"/>
      <c r="G147" s="2483"/>
      <c r="H147" s="2482"/>
      <c r="I147" s="2483"/>
      <c r="J147" s="2482"/>
      <c r="K147" s="2482"/>
      <c r="L147" s="2483"/>
      <c r="M147" s="2482"/>
      <c r="N147" s="2482"/>
      <c r="O147" s="2483"/>
      <c r="P147" s="2482"/>
      <c r="Q147" s="2482"/>
      <c r="R147" s="2484"/>
    </row>
    <row r="148" spans="2:18" s="797" customFormat="1">
      <c r="B148" s="2482"/>
      <c r="C148" s="2482"/>
      <c r="D148" s="2482"/>
      <c r="E148" s="2482"/>
      <c r="F148" s="2482"/>
      <c r="G148" s="2483"/>
      <c r="H148" s="2482"/>
      <c r="I148" s="2483"/>
      <c r="J148" s="2482"/>
      <c r="K148" s="2482"/>
      <c r="L148" s="2483"/>
      <c r="M148" s="2482"/>
      <c r="N148" s="2482"/>
      <c r="O148" s="2483"/>
      <c r="P148" s="2482"/>
      <c r="Q148" s="2482"/>
      <c r="R148" s="2484"/>
    </row>
    <row r="149" spans="2:18" s="797" customFormat="1">
      <c r="B149" s="2482"/>
      <c r="C149" s="2482"/>
      <c r="D149" s="2482"/>
      <c r="E149" s="2482"/>
      <c r="F149" s="2482"/>
      <c r="G149" s="2483"/>
      <c r="H149" s="2482"/>
      <c r="I149" s="2483"/>
      <c r="J149" s="2482"/>
      <c r="K149" s="2482"/>
      <c r="L149" s="2483"/>
      <c r="M149" s="2482"/>
      <c r="N149" s="2482"/>
      <c r="O149" s="2483"/>
      <c r="P149" s="2482"/>
      <c r="Q149" s="2482"/>
      <c r="R149" s="2484"/>
    </row>
    <row r="150" spans="2:18" s="797" customFormat="1">
      <c r="B150" s="2482"/>
      <c r="C150" s="2482"/>
      <c r="D150" s="2482"/>
      <c r="E150" s="2482"/>
      <c r="F150" s="2482"/>
      <c r="G150" s="2483"/>
      <c r="H150" s="2482"/>
      <c r="I150" s="2483"/>
      <c r="J150" s="2482"/>
      <c r="K150" s="2482"/>
      <c r="L150" s="2483"/>
      <c r="M150" s="2482"/>
      <c r="N150" s="2482"/>
      <c r="O150" s="2483"/>
      <c r="P150" s="2482"/>
      <c r="Q150" s="2482"/>
      <c r="R150" s="2484"/>
    </row>
    <row r="151" spans="2:18" s="797" customFormat="1">
      <c r="B151" s="2482"/>
      <c r="C151" s="2482"/>
      <c r="D151" s="2482"/>
      <c r="E151" s="2482"/>
      <c r="F151" s="2482"/>
      <c r="G151" s="2483"/>
      <c r="H151" s="2482"/>
      <c r="I151" s="2483"/>
      <c r="J151" s="2482"/>
      <c r="K151" s="2482"/>
      <c r="L151" s="2483"/>
      <c r="M151" s="2482"/>
      <c r="N151" s="2482"/>
      <c r="O151" s="2483"/>
      <c r="P151" s="2482"/>
      <c r="Q151" s="2482"/>
      <c r="R151" s="2484"/>
    </row>
    <row r="152" spans="2:18" s="797" customFormat="1">
      <c r="B152" s="2482"/>
      <c r="C152" s="2482"/>
      <c r="D152" s="2482"/>
      <c r="E152" s="2482"/>
      <c r="F152" s="2482"/>
      <c r="G152" s="2483"/>
      <c r="H152" s="2482"/>
      <c r="I152" s="2483"/>
      <c r="J152" s="2482"/>
      <c r="K152" s="2482"/>
      <c r="L152" s="2483"/>
      <c r="M152" s="2482"/>
      <c r="N152" s="2482"/>
      <c r="O152" s="2483"/>
      <c r="P152" s="2482"/>
      <c r="Q152" s="2482"/>
      <c r="R152" s="2484"/>
    </row>
    <row r="153" spans="2:18" s="797" customFormat="1">
      <c r="B153" s="2482"/>
      <c r="C153" s="2482"/>
      <c r="D153" s="2482"/>
      <c r="E153" s="2482"/>
      <c r="F153" s="2482"/>
      <c r="G153" s="2483"/>
      <c r="H153" s="2482"/>
      <c r="I153" s="2483"/>
      <c r="J153" s="2482"/>
      <c r="K153" s="2482"/>
      <c r="L153" s="2483"/>
      <c r="M153" s="2482"/>
      <c r="N153" s="2482"/>
      <c r="O153" s="2483"/>
      <c r="P153" s="2482"/>
      <c r="Q153" s="2482"/>
      <c r="R153" s="2484"/>
    </row>
    <row r="154" spans="2:18" s="797" customFormat="1">
      <c r="B154" s="2482"/>
      <c r="C154" s="2482"/>
      <c r="D154" s="2482"/>
      <c r="E154" s="2482"/>
      <c r="F154" s="2482"/>
      <c r="G154" s="2483"/>
      <c r="H154" s="2482"/>
      <c r="I154" s="2483"/>
      <c r="J154" s="2482"/>
      <c r="K154" s="2482"/>
      <c r="L154" s="2483"/>
      <c r="M154" s="2482"/>
      <c r="N154" s="2482"/>
      <c r="O154" s="2483"/>
      <c r="P154" s="2482"/>
      <c r="Q154" s="2482"/>
      <c r="R154" s="2484"/>
    </row>
    <row r="155" spans="2:18" s="797" customFormat="1">
      <c r="B155" s="2482"/>
      <c r="C155" s="2482"/>
      <c r="D155" s="2482"/>
      <c r="E155" s="2482"/>
      <c r="F155" s="2482"/>
      <c r="G155" s="2483"/>
      <c r="H155" s="2482"/>
      <c r="I155" s="2483"/>
      <c r="J155" s="2482"/>
      <c r="K155" s="2482"/>
      <c r="L155" s="2483"/>
      <c r="M155" s="2482"/>
      <c r="N155" s="2482"/>
      <c r="O155" s="2483"/>
      <c r="P155" s="2482"/>
      <c r="Q155" s="2482"/>
      <c r="R155" s="2484"/>
    </row>
    <row r="156" spans="2:18" s="797" customFormat="1">
      <c r="B156" s="2482"/>
      <c r="C156" s="2482"/>
      <c r="D156" s="2482"/>
      <c r="E156" s="2482"/>
      <c r="F156" s="2482"/>
      <c r="G156" s="2483"/>
      <c r="H156" s="2482"/>
      <c r="I156" s="2483"/>
      <c r="J156" s="2482"/>
      <c r="K156" s="2482"/>
      <c r="L156" s="2483"/>
      <c r="M156" s="2482"/>
      <c r="N156" s="2482"/>
      <c r="O156" s="2483"/>
      <c r="P156" s="2482"/>
      <c r="Q156" s="2482"/>
      <c r="R156" s="2484"/>
    </row>
    <row r="157" spans="2:18" s="797" customFormat="1">
      <c r="B157" s="2482"/>
      <c r="C157" s="2482"/>
      <c r="D157" s="2482"/>
      <c r="E157" s="2482"/>
      <c r="F157" s="2482"/>
      <c r="G157" s="2483"/>
      <c r="H157" s="2482"/>
      <c r="I157" s="2483"/>
      <c r="J157" s="2482"/>
      <c r="K157" s="2482"/>
      <c r="L157" s="2483"/>
      <c r="M157" s="2482"/>
      <c r="N157" s="2482"/>
      <c r="O157" s="2483"/>
      <c r="P157" s="2482"/>
      <c r="Q157" s="2482"/>
      <c r="R157" s="2484"/>
    </row>
    <row r="158" spans="2:18" s="797" customFormat="1">
      <c r="B158" s="2482"/>
      <c r="C158" s="2482"/>
      <c r="D158" s="2482"/>
      <c r="E158" s="2482"/>
      <c r="F158" s="2482"/>
      <c r="G158" s="2483"/>
      <c r="H158" s="2482"/>
      <c r="I158" s="2483"/>
      <c r="J158" s="2482"/>
      <c r="K158" s="2482"/>
      <c r="L158" s="2483"/>
      <c r="M158" s="2482"/>
      <c r="N158" s="2482"/>
      <c r="O158" s="2483"/>
      <c r="P158" s="2482"/>
      <c r="Q158" s="2482"/>
      <c r="R158" s="2484"/>
    </row>
    <row r="159" spans="2:18" s="797" customFormat="1">
      <c r="B159" s="2482"/>
      <c r="C159" s="2482"/>
      <c r="D159" s="2482"/>
      <c r="E159" s="2482"/>
      <c r="F159" s="2482"/>
      <c r="G159" s="2483"/>
      <c r="H159" s="2482"/>
      <c r="I159" s="2483"/>
      <c r="J159" s="2482"/>
      <c r="K159" s="2482"/>
      <c r="L159" s="2483"/>
      <c r="M159" s="2482"/>
      <c r="N159" s="2482"/>
      <c r="O159" s="2483"/>
      <c r="P159" s="2482"/>
      <c r="Q159" s="2482"/>
      <c r="R159" s="2484"/>
    </row>
    <row r="160" spans="2:18" s="797" customFormat="1">
      <c r="B160" s="2482"/>
      <c r="C160" s="2482"/>
      <c r="D160" s="2482"/>
      <c r="E160" s="2482"/>
      <c r="F160" s="2482"/>
      <c r="G160" s="2483"/>
      <c r="H160" s="2482"/>
      <c r="I160" s="2483"/>
      <c r="J160" s="2482"/>
      <c r="K160" s="2482"/>
      <c r="L160" s="2483"/>
      <c r="M160" s="2482"/>
      <c r="N160" s="2482"/>
      <c r="O160" s="2483"/>
      <c r="P160" s="2482"/>
      <c r="Q160" s="2482"/>
      <c r="R160" s="2484"/>
    </row>
    <row r="161" spans="2:18" s="797" customFormat="1">
      <c r="B161" s="2482"/>
      <c r="C161" s="2482"/>
      <c r="D161" s="2482"/>
      <c r="E161" s="2482"/>
      <c r="F161" s="2482"/>
      <c r="G161" s="2483"/>
      <c r="H161" s="2482"/>
      <c r="I161" s="2483"/>
      <c r="J161" s="2482"/>
      <c r="K161" s="2482"/>
      <c r="L161" s="2483"/>
      <c r="M161" s="2482"/>
      <c r="N161" s="2482"/>
      <c r="O161" s="2483"/>
      <c r="P161" s="2482"/>
      <c r="Q161" s="2482"/>
      <c r="R161" s="2484"/>
    </row>
    <row r="162" spans="2:18" s="797" customFormat="1">
      <c r="B162" s="2482"/>
      <c r="C162" s="2482"/>
      <c r="D162" s="2482"/>
      <c r="E162" s="2482"/>
      <c r="F162" s="2482"/>
      <c r="G162" s="2483"/>
      <c r="H162" s="2482"/>
      <c r="I162" s="2483"/>
      <c r="J162" s="2482"/>
      <c r="K162" s="2482"/>
      <c r="L162" s="2483"/>
      <c r="M162" s="2482"/>
      <c r="N162" s="2482"/>
      <c r="O162" s="2483"/>
      <c r="P162" s="2482"/>
      <c r="Q162" s="2482"/>
      <c r="R162" s="2484"/>
    </row>
    <row r="163" spans="2:18" s="797" customFormat="1">
      <c r="B163" s="2482"/>
      <c r="C163" s="2482"/>
      <c r="D163" s="2482"/>
      <c r="E163" s="2482"/>
      <c r="F163" s="2482"/>
      <c r="G163" s="2483"/>
      <c r="H163" s="2482"/>
      <c r="I163" s="2483"/>
      <c r="J163" s="2482"/>
      <c r="K163" s="2482"/>
      <c r="L163" s="2483"/>
      <c r="M163" s="2482"/>
      <c r="N163" s="2482"/>
      <c r="O163" s="2483"/>
      <c r="P163" s="2482"/>
      <c r="Q163" s="2482"/>
      <c r="R163" s="2484"/>
    </row>
    <row r="164" spans="2:18" s="797" customFormat="1">
      <c r="B164" s="2482"/>
      <c r="C164" s="2482"/>
      <c r="D164" s="2482"/>
      <c r="E164" s="2482"/>
      <c r="F164" s="2482"/>
      <c r="G164" s="2483"/>
      <c r="H164" s="2482"/>
      <c r="I164" s="2483"/>
      <c r="J164" s="2482"/>
      <c r="K164" s="2482"/>
      <c r="L164" s="2483"/>
      <c r="M164" s="2482"/>
      <c r="N164" s="2482"/>
      <c r="O164" s="2483"/>
      <c r="P164" s="2482"/>
      <c r="Q164" s="2482"/>
      <c r="R164" s="2484"/>
    </row>
    <row r="165" spans="2:18" s="797" customFormat="1">
      <c r="B165" s="2482"/>
      <c r="C165" s="2482"/>
      <c r="D165" s="2482"/>
      <c r="E165" s="2482"/>
      <c r="F165" s="2482"/>
      <c r="G165" s="2483"/>
      <c r="H165" s="2482"/>
      <c r="I165" s="2483"/>
      <c r="J165" s="2482"/>
      <c r="K165" s="2482"/>
      <c r="L165" s="2483"/>
      <c r="M165" s="2482"/>
      <c r="N165" s="2482"/>
      <c r="O165" s="2483"/>
      <c r="P165" s="2482"/>
      <c r="Q165" s="2482"/>
      <c r="R165" s="2484"/>
    </row>
    <row r="166" spans="2:18" s="797" customFormat="1">
      <c r="B166" s="2482"/>
      <c r="C166" s="2482"/>
      <c r="D166" s="2482"/>
      <c r="E166" s="2482"/>
      <c r="F166" s="2482"/>
      <c r="G166" s="2483"/>
      <c r="H166" s="2482"/>
      <c r="I166" s="2483"/>
      <c r="J166" s="2482"/>
      <c r="K166" s="2482"/>
      <c r="L166" s="2483"/>
      <c r="M166" s="2482"/>
      <c r="N166" s="2482"/>
      <c r="O166" s="2483"/>
      <c r="P166" s="2482"/>
      <c r="Q166" s="2482"/>
      <c r="R166" s="2484"/>
    </row>
    <row r="167" spans="2:18" s="797" customFormat="1">
      <c r="B167" s="2482"/>
      <c r="C167" s="2482"/>
      <c r="D167" s="2482"/>
      <c r="E167" s="2482"/>
      <c r="F167" s="2482"/>
      <c r="G167" s="2483"/>
      <c r="H167" s="2482"/>
      <c r="I167" s="2483"/>
      <c r="J167" s="2482"/>
      <c r="K167" s="2482"/>
      <c r="L167" s="2483"/>
      <c r="M167" s="2482"/>
      <c r="N167" s="2482"/>
      <c r="O167" s="2483"/>
      <c r="P167" s="2482"/>
      <c r="Q167" s="2482"/>
      <c r="R167" s="2484"/>
    </row>
    <row r="168" spans="2:18" s="797" customFormat="1">
      <c r="B168" s="2482"/>
      <c r="C168" s="2482"/>
      <c r="D168" s="2482"/>
      <c r="E168" s="2482"/>
      <c r="F168" s="2482"/>
      <c r="G168" s="2483"/>
      <c r="H168" s="2482"/>
      <c r="I168" s="2483"/>
      <c r="J168" s="2482"/>
      <c r="K168" s="2482"/>
      <c r="L168" s="2483"/>
      <c r="M168" s="2482"/>
      <c r="N168" s="2482"/>
      <c r="O168" s="2483"/>
      <c r="P168" s="2482"/>
      <c r="Q168" s="2482"/>
      <c r="R168" s="2484"/>
    </row>
    <row r="169" spans="2:18" s="797" customFormat="1">
      <c r="B169" s="2482"/>
      <c r="C169" s="2482"/>
      <c r="D169" s="2482"/>
      <c r="E169" s="2482"/>
      <c r="F169" s="2482"/>
      <c r="G169" s="2483"/>
      <c r="H169" s="2482"/>
      <c r="I169" s="2483"/>
      <c r="J169" s="2482"/>
      <c r="K169" s="2482"/>
      <c r="L169" s="2483"/>
      <c r="M169" s="2482"/>
      <c r="N169" s="2482"/>
      <c r="O169" s="2483"/>
      <c r="P169" s="2482"/>
      <c r="Q169" s="2482"/>
      <c r="R169" s="2484"/>
    </row>
    <row r="170" spans="2:18" s="797" customFormat="1">
      <c r="B170" s="2482"/>
      <c r="C170" s="2482"/>
      <c r="D170" s="2482"/>
      <c r="E170" s="2482"/>
      <c r="F170" s="2482"/>
      <c r="G170" s="2483"/>
      <c r="H170" s="2482"/>
      <c r="I170" s="2483"/>
      <c r="J170" s="2482"/>
      <c r="K170" s="2482"/>
      <c r="L170" s="2483"/>
      <c r="M170" s="2482"/>
      <c r="N170" s="2482"/>
      <c r="O170" s="2483"/>
      <c r="P170" s="2482"/>
      <c r="Q170" s="2482"/>
      <c r="R170" s="2484"/>
    </row>
    <row r="171" spans="2:18" s="797" customFormat="1">
      <c r="B171" s="2482"/>
      <c r="C171" s="2482"/>
      <c r="D171" s="2482"/>
      <c r="E171" s="2482"/>
      <c r="F171" s="2482"/>
      <c r="G171" s="2483"/>
      <c r="H171" s="2482"/>
      <c r="I171" s="2483"/>
      <c r="J171" s="2482"/>
      <c r="K171" s="2482"/>
      <c r="L171" s="2483"/>
      <c r="M171" s="2482"/>
      <c r="N171" s="2482"/>
      <c r="O171" s="2483"/>
      <c r="P171" s="2482"/>
      <c r="Q171" s="2482"/>
      <c r="R171" s="2484"/>
    </row>
    <row r="172" spans="2:18" s="797" customFormat="1">
      <c r="B172" s="2482"/>
      <c r="C172" s="2482"/>
      <c r="D172" s="2482"/>
      <c r="E172" s="2482"/>
      <c r="F172" s="2482"/>
      <c r="G172" s="2483"/>
      <c r="H172" s="2482"/>
      <c r="I172" s="2483"/>
      <c r="J172" s="2482"/>
      <c r="K172" s="2482"/>
      <c r="L172" s="2483"/>
      <c r="M172" s="2482"/>
      <c r="N172" s="2482"/>
      <c r="O172" s="2483"/>
      <c r="P172" s="2482"/>
      <c r="Q172" s="2482"/>
      <c r="R172" s="2484"/>
    </row>
    <row r="173" spans="2:18" s="797" customFormat="1">
      <c r="B173" s="2482"/>
      <c r="C173" s="2482"/>
      <c r="D173" s="2482"/>
      <c r="E173" s="2482"/>
      <c r="F173" s="2482"/>
      <c r="G173" s="2483"/>
      <c r="H173" s="2482"/>
      <c r="I173" s="2483"/>
      <c r="J173" s="2482"/>
      <c r="K173" s="2482"/>
      <c r="L173" s="2483"/>
      <c r="M173" s="2482"/>
      <c r="N173" s="2482"/>
      <c r="O173" s="2483"/>
      <c r="P173" s="2482"/>
      <c r="Q173" s="2482"/>
      <c r="R173" s="2484"/>
    </row>
    <row r="174" spans="2:18" s="797" customFormat="1">
      <c r="B174" s="2482"/>
      <c r="C174" s="2482"/>
      <c r="D174" s="2482"/>
      <c r="E174" s="2482"/>
      <c r="F174" s="2482"/>
      <c r="G174" s="2483"/>
      <c r="H174" s="2482"/>
      <c r="I174" s="2483"/>
      <c r="J174" s="2482"/>
      <c r="K174" s="2482"/>
      <c r="L174" s="2483"/>
      <c r="M174" s="2482"/>
      <c r="N174" s="2482"/>
      <c r="O174" s="2483"/>
      <c r="P174" s="2482"/>
      <c r="Q174" s="2482"/>
      <c r="R174" s="2484"/>
    </row>
    <row r="175" spans="2:18" s="797" customFormat="1">
      <c r="B175" s="2482"/>
      <c r="C175" s="2482"/>
      <c r="D175" s="2482"/>
      <c r="E175" s="2482"/>
      <c r="F175" s="2482"/>
      <c r="G175" s="2483"/>
      <c r="H175" s="2482"/>
      <c r="I175" s="2483"/>
      <c r="J175" s="2482"/>
      <c r="K175" s="2482"/>
      <c r="L175" s="2483"/>
      <c r="M175" s="2482"/>
      <c r="N175" s="2482"/>
      <c r="O175" s="2483"/>
      <c r="P175" s="2482"/>
      <c r="Q175" s="2482"/>
      <c r="R175" s="2484"/>
    </row>
    <row r="176" spans="2:18" s="797" customFormat="1">
      <c r="B176" s="2482"/>
      <c r="C176" s="2482"/>
      <c r="D176" s="2482"/>
      <c r="E176" s="2482"/>
      <c r="F176" s="2482"/>
      <c r="G176" s="2483"/>
      <c r="H176" s="2482"/>
      <c r="I176" s="2483"/>
      <c r="J176" s="2482"/>
      <c r="K176" s="2482"/>
      <c r="L176" s="2483"/>
      <c r="M176" s="2482"/>
      <c r="N176" s="2482"/>
      <c r="O176" s="2483"/>
      <c r="P176" s="2482"/>
      <c r="Q176" s="2482"/>
      <c r="R176" s="2484"/>
    </row>
    <row r="177" spans="1:18" s="797" customFormat="1">
      <c r="B177" s="2482"/>
      <c r="C177" s="2482"/>
      <c r="D177" s="2482"/>
      <c r="E177" s="2482"/>
      <c r="F177" s="2482"/>
      <c r="G177" s="2483"/>
      <c r="H177" s="2482"/>
      <c r="I177" s="2483"/>
      <c r="J177" s="2482"/>
      <c r="K177" s="2482"/>
      <c r="L177" s="2483"/>
      <c r="M177" s="2482"/>
      <c r="N177" s="2482"/>
      <c r="O177" s="2483"/>
      <c r="P177" s="2482"/>
      <c r="Q177" s="2482"/>
      <c r="R177" s="2484"/>
    </row>
    <row r="178" spans="1:18" s="797" customFormat="1">
      <c r="B178" s="2482"/>
      <c r="C178" s="2482"/>
      <c r="D178" s="2482"/>
      <c r="E178" s="2482"/>
      <c r="F178" s="2482"/>
      <c r="G178" s="2483"/>
      <c r="H178" s="2482"/>
      <c r="I178" s="2483"/>
      <c r="J178" s="2482"/>
      <c r="K178" s="2482"/>
      <c r="L178" s="2483"/>
      <c r="M178" s="2482"/>
      <c r="N178" s="2482"/>
      <c r="O178" s="2483"/>
      <c r="P178" s="2482"/>
      <c r="Q178" s="2482"/>
      <c r="R178" s="2484"/>
    </row>
    <row r="179" spans="1:18" s="797" customFormat="1">
      <c r="B179" s="2482"/>
      <c r="C179" s="2482"/>
      <c r="D179" s="2482"/>
      <c r="E179" s="2482"/>
      <c r="F179" s="2482"/>
      <c r="G179" s="2483"/>
      <c r="H179" s="2482"/>
      <c r="I179" s="2483"/>
      <c r="J179" s="2482"/>
      <c r="K179" s="2482"/>
      <c r="L179" s="2483"/>
      <c r="M179" s="2482"/>
      <c r="N179" s="2482"/>
      <c r="O179" s="2483"/>
      <c r="P179" s="2482"/>
      <c r="Q179" s="2482"/>
      <c r="R179" s="2484"/>
    </row>
    <row r="180" spans="1:18" s="797" customFormat="1">
      <c r="B180" s="2482"/>
      <c r="C180" s="2482"/>
      <c r="D180" s="2482"/>
      <c r="E180" s="2482"/>
      <c r="F180" s="2482"/>
      <c r="G180" s="2483"/>
      <c r="H180" s="2482"/>
      <c r="I180" s="2483"/>
      <c r="J180" s="2482"/>
      <c r="K180" s="2482"/>
      <c r="L180" s="2483"/>
      <c r="M180" s="2482"/>
      <c r="N180" s="2482"/>
      <c r="O180" s="2483"/>
      <c r="P180" s="2482"/>
      <c r="Q180" s="2482"/>
      <c r="R180" s="2484"/>
    </row>
    <row r="181" spans="1:18" s="797" customFormat="1">
      <c r="B181" s="2482"/>
      <c r="C181" s="2482"/>
      <c r="D181" s="2482"/>
      <c r="E181" s="2482"/>
      <c r="F181" s="2482"/>
      <c r="G181" s="2483"/>
      <c r="H181" s="2482"/>
      <c r="I181" s="2483"/>
      <c r="J181" s="2482"/>
      <c r="K181" s="2482"/>
      <c r="L181" s="2483"/>
      <c r="M181" s="2482"/>
      <c r="N181" s="2482"/>
      <c r="O181" s="2483"/>
      <c r="P181" s="2482"/>
      <c r="Q181" s="2482"/>
      <c r="R181" s="2484"/>
    </row>
    <row r="182" spans="1:18" s="797" customFormat="1">
      <c r="B182" s="2482"/>
      <c r="C182" s="2482"/>
      <c r="D182" s="2482"/>
      <c r="E182" s="2482"/>
      <c r="F182" s="2482"/>
      <c r="G182" s="2483"/>
      <c r="H182" s="2482"/>
      <c r="I182" s="2483"/>
      <c r="J182" s="2482"/>
      <c r="K182" s="2482"/>
      <c r="L182" s="2483"/>
      <c r="M182" s="2482"/>
      <c r="N182" s="2482"/>
      <c r="O182" s="2483"/>
      <c r="P182" s="2482"/>
      <c r="Q182" s="2482"/>
      <c r="R182" s="2484"/>
    </row>
    <row r="183" spans="1:18" s="797" customFormat="1">
      <c r="B183" s="2482"/>
      <c r="C183" s="2482"/>
      <c r="D183" s="2482"/>
      <c r="E183" s="2482"/>
      <c r="F183" s="2482"/>
      <c r="G183" s="2483"/>
      <c r="H183" s="2482"/>
      <c r="I183" s="2483"/>
      <c r="J183" s="2482"/>
      <c r="K183" s="2482"/>
      <c r="L183" s="2483"/>
      <c r="M183" s="2482"/>
      <c r="N183" s="2482"/>
      <c r="O183" s="2483"/>
      <c r="P183" s="2482"/>
      <c r="Q183" s="2482"/>
      <c r="R183" s="2484"/>
    </row>
    <row r="184" spans="1:18" s="797" customFormat="1">
      <c r="B184" s="2482"/>
      <c r="C184" s="2482"/>
      <c r="D184" s="2482"/>
      <c r="E184" s="2482"/>
      <c r="F184" s="2482"/>
      <c r="G184" s="2483"/>
      <c r="H184" s="2482"/>
      <c r="I184" s="2483"/>
      <c r="J184" s="2482"/>
      <c r="K184" s="2482"/>
      <c r="L184" s="2483"/>
      <c r="M184" s="2482"/>
      <c r="N184" s="2482"/>
      <c r="O184" s="2483"/>
      <c r="P184" s="2482"/>
      <c r="Q184" s="2482"/>
      <c r="R184" s="2484"/>
    </row>
    <row r="185" spans="1:18" s="797"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7"/>
      <c r="B186" s="2482"/>
      <c r="C186" s="2482"/>
      <c r="E186" s="2482"/>
      <c r="F186" s="2482"/>
      <c r="G186" s="2483"/>
    </row>
    <row r="187" spans="1:18">
      <c r="A187" s="797"/>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105107.27999999982</v>
      </c>
      <c r="C1" s="2677"/>
      <c r="D1" s="2677"/>
      <c r="E1" s="2677"/>
      <c r="F1" s="2677"/>
      <c r="G1" s="2678"/>
      <c r="H1" s="2679"/>
      <c r="I1" s="2679"/>
      <c r="J1" s="2679"/>
      <c r="K1" s="2679"/>
    </row>
    <row r="2" spans="1:11" ht="16.5">
      <c r="A2" s="2503" t="s">
        <v>653</v>
      </c>
      <c r="B2" s="2503">
        <f>SUM(C14:C23)</f>
        <v>53915.27</v>
      </c>
      <c r="C2" s="2677"/>
      <c r="D2" s="2677"/>
      <c r="E2" s="2677"/>
      <c r="F2" s="2677"/>
      <c r="G2" s="2678"/>
      <c r="H2" s="2679"/>
      <c r="I2" s="2679"/>
      <c r="J2" s="2679"/>
      <c r="K2" s="2679"/>
    </row>
    <row r="3" spans="1:11" ht="16.5">
      <c r="A3" s="2503" t="s">
        <v>662</v>
      </c>
      <c r="B3" s="2505">
        <f>项目基本情况!D3</f>
        <v>45576</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524696</v>
      </c>
      <c r="C5" s="2503">
        <f ca="1">IF(B5=D14,结果表!H102,ROUND(B5*10000/$B$1,0))</f>
        <v>49920</v>
      </c>
      <c r="D5" s="2503">
        <f ca="1">ROUND(B5*10000/$B$2,0)</f>
        <v>97319</v>
      </c>
      <c r="E5" s="2677"/>
      <c r="F5" s="2678"/>
      <c r="G5" s="2678"/>
      <c r="H5" s="2679"/>
      <c r="I5" s="2679"/>
      <c r="J5" s="2679"/>
      <c r="K5" s="2679"/>
    </row>
    <row r="6" spans="1:11" ht="16.5">
      <c r="A6" s="2503" t="s">
        <v>656</v>
      </c>
      <c r="B6" s="2503">
        <f ca="1">SUM(G14:G23)</f>
        <v>524696</v>
      </c>
      <c r="C6" s="2503">
        <f ca="1">IF(B6=G14,结果表!H108,ROUND(B6*10000/$B$1,0))</f>
        <v>49920</v>
      </c>
      <c r="D6" s="2503">
        <f ca="1">ROUND(B6*10000/$B$2,0)</f>
        <v>97319</v>
      </c>
      <c r="E6" s="2677"/>
      <c r="F6" s="2678"/>
      <c r="G6" s="2678"/>
      <c r="H6" s="2679"/>
      <c r="I6" s="2679"/>
      <c r="J6" s="2679"/>
      <c r="K6" s="2679"/>
    </row>
    <row r="7" spans="1:11" ht="16.5">
      <c r="A7" s="2503" t="s">
        <v>664</v>
      </c>
      <c r="B7" s="2503">
        <f>SUM(H14:H23)</f>
        <v>0</v>
      </c>
      <c r="C7" s="2503" t="str">
        <f>IF(B7=H14,结果表!H110,ROUND(B7*10000/$B$1,0))</f>
        <v>——</v>
      </c>
      <c r="D7" s="2503">
        <f>ROUND(B7*10000/$B$2,0)</f>
        <v>0</v>
      </c>
      <c r="E7" s="2677"/>
      <c r="F7" s="2678"/>
      <c r="G7" s="2678"/>
      <c r="H7" s="2679"/>
      <c r="I7" s="2679"/>
      <c r="J7" s="2679"/>
      <c r="K7" s="2679"/>
    </row>
    <row r="8" spans="1:11" ht="16.5">
      <c r="A8" s="2503" t="s">
        <v>587</v>
      </c>
      <c r="B8" s="2503">
        <f>SUM(I14:I23)</f>
        <v>0</v>
      </c>
      <c r="C8" s="2503" t="str">
        <f>IF(B8=I14,结果表!H112,ROUND(B8*10000/$B$1,0))</f>
        <v>——</v>
      </c>
      <c r="D8" s="2503">
        <f>ROUND(B8*10000/$B$2,0)</f>
        <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3348</v>
      </c>
      <c r="D10" s="2503" t="s">
        <v>3349</v>
      </c>
      <c r="E10" s="3432"/>
      <c r="F10" s="3436" t="s">
        <v>3350</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结果表!B118</f>
        <v>105107.27999999982</v>
      </c>
      <c r="C14" s="2509">
        <f>结果表!C118</f>
        <v>53915.27</v>
      </c>
      <c r="D14" s="2509">
        <f ca="1">结果表!H118</f>
        <v>524696</v>
      </c>
      <c r="E14" s="2509">
        <f ca="1">ROUND(D14*10000/B14,0)</f>
        <v>49920</v>
      </c>
      <c r="F14" s="2509">
        <f ca="1">ROUND(D14*10000/C14,0)</f>
        <v>97319</v>
      </c>
      <c r="G14" s="2509">
        <f ca="1">结果表!D122</f>
        <v>524696</v>
      </c>
      <c r="H14" s="2509"/>
      <c r="I14" s="2509"/>
      <c r="J14" s="2678"/>
      <c r="K14" s="2679"/>
    </row>
    <row r="15" spans="1:11" ht="16.5">
      <c r="A15" s="2508" t="s">
        <v>649</v>
      </c>
      <c r="B15" s="2510"/>
      <c r="C15" s="2510"/>
      <c r="D15" s="2510"/>
      <c r="E15" s="2509" t="e">
        <f t="shared" ref="E15:E23" si="0">ROUND(D15*10000/B15,0)</f>
        <v>#DIV/0!</v>
      </c>
      <c r="F15" s="2509" t="e">
        <f t="shared" ref="F15:F23" si="1">ROUND(D15*10000/C15,0)</f>
        <v>#DIV/0!</v>
      </c>
      <c r="G15" s="1328"/>
      <c r="H15" s="1328"/>
      <c r="I15" s="2510"/>
      <c r="J15" s="2678"/>
      <c r="K15" s="2679"/>
    </row>
    <row r="16" spans="1:11" ht="16.5">
      <c r="A16" s="2508" t="s">
        <v>648</v>
      </c>
      <c r="B16" s="2510"/>
      <c r="C16" s="2510"/>
      <c r="D16" s="2510"/>
      <c r="E16" s="2509" t="e">
        <f t="shared" si="0"/>
        <v>#DIV/0!</v>
      </c>
      <c r="F16" s="2509" t="e">
        <f t="shared" si="1"/>
        <v>#DIV/0!</v>
      </c>
      <c r="G16" s="1328"/>
      <c r="H16" s="1328"/>
      <c r="I16" s="2510"/>
      <c r="J16" s="2679"/>
      <c r="K16" s="2679"/>
    </row>
    <row r="17" spans="1:11" ht="16.5">
      <c r="A17" s="2508" t="s">
        <v>647</v>
      </c>
      <c r="B17" s="2510"/>
      <c r="C17" s="2510"/>
      <c r="D17" s="2510"/>
      <c r="E17" s="2509" t="e">
        <f t="shared" si="0"/>
        <v>#DIV/0!</v>
      </c>
      <c r="F17" s="2509" t="e">
        <f t="shared" si="1"/>
        <v>#DIV/0!</v>
      </c>
      <c r="G17" s="1328"/>
      <c r="H17" s="1328"/>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SheetLayoutView="90" zoomScalePageLayoutView="80" workbookViewId="0">
      <selection activeCell="I1" sqref="I1"/>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1260</v>
      </c>
      <c r="B1" s="1744"/>
      <c r="C1" s="1745"/>
      <c r="D1" s="1744"/>
      <c r="E1" s="1744"/>
      <c r="F1" s="1746" t="s">
        <v>1261</v>
      </c>
      <c r="G1" s="1558" t="s">
        <v>3902</v>
      </c>
      <c r="H1" s="1747" t="str">
        <f>IF(G1="现房","——","估价对象范围")</f>
        <v>估价对象范围</v>
      </c>
      <c r="I1" s="1748" t="s">
        <v>3903</v>
      </c>
    </row>
    <row r="2" spans="1:12" ht="21.75" customHeight="1" thickBot="1">
      <c r="A2" s="3596" t="str">
        <f>项目基本情况!S2</f>
        <v>北京市北京市海淀区双新村棚户区改造项目2603-003-1地块R2二类居住用地出让国有建设用地使用权</v>
      </c>
      <c r="B2" s="3597"/>
      <c r="C2" s="3597"/>
      <c r="D2" s="3597"/>
      <c r="E2" s="3597"/>
      <c r="F2" s="3597"/>
      <c r="G2" s="3597"/>
      <c r="H2" s="3597"/>
      <c r="I2" s="3598"/>
    </row>
    <row r="3" spans="1:12" ht="12.75">
      <c r="A3" s="3600" t="s">
        <v>1262</v>
      </c>
      <c r="B3" s="3601"/>
      <c r="C3" s="3601"/>
      <c r="D3" s="3601"/>
      <c r="E3" s="3601"/>
      <c r="F3" s="3601"/>
      <c r="G3" s="3601"/>
      <c r="H3" s="3601"/>
      <c r="I3" s="3601"/>
    </row>
    <row r="4" spans="1:12" ht="14.25">
      <c r="A4" s="1751" t="s">
        <v>1263</v>
      </c>
      <c r="B4" s="1752" t="s">
        <v>1264</v>
      </c>
      <c r="C4" s="1753" t="s">
        <v>3836</v>
      </c>
      <c r="D4" s="1753" t="s">
        <v>3837</v>
      </c>
      <c r="E4" s="3602" t="s">
        <v>1265</v>
      </c>
      <c r="F4" s="3603"/>
      <c r="G4" s="3603"/>
      <c r="H4" s="3603"/>
      <c r="I4" s="3604"/>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76" t="s">
        <v>1266</v>
      </c>
      <c r="B5" s="3563">
        <v>25</v>
      </c>
      <c r="C5" s="3579"/>
      <c r="D5" s="3599"/>
      <c r="E5" s="131" t="s">
        <v>1267</v>
      </c>
      <c r="F5" s="1754"/>
      <c r="G5" s="1754"/>
      <c r="H5" s="1754"/>
      <c r="I5" s="1370"/>
    </row>
    <row r="6" spans="1:12" ht="12.75">
      <c r="A6" s="3576"/>
      <c r="B6" s="3563"/>
      <c r="C6" s="3580"/>
      <c r="D6" s="3599"/>
      <c r="E6" s="131" t="s">
        <v>1268</v>
      </c>
      <c r="F6" s="1754"/>
      <c r="G6" s="1754"/>
      <c r="H6" s="1754"/>
      <c r="I6" s="1370"/>
    </row>
    <row r="7" spans="1:12" ht="12.75">
      <c r="A7" s="3576"/>
      <c r="B7" s="3563"/>
      <c r="C7" s="3581"/>
      <c r="D7" s="3599"/>
      <c r="E7" s="131" t="s">
        <v>1269</v>
      </c>
      <c r="F7" s="1754"/>
      <c r="G7" s="1754"/>
      <c r="H7" s="1754"/>
      <c r="I7" s="1370"/>
    </row>
    <row r="8" spans="1:12" ht="12.75">
      <c r="A8" s="3576" t="s">
        <v>1270</v>
      </c>
      <c r="B8" s="3563">
        <v>15</v>
      </c>
      <c r="C8" s="3579"/>
      <c r="D8" s="3599"/>
      <c r="E8" s="131" t="s">
        <v>1271</v>
      </c>
      <c r="F8" s="1754"/>
      <c r="G8" s="1754"/>
      <c r="H8" s="1754"/>
      <c r="I8" s="1370"/>
    </row>
    <row r="9" spans="1:12" ht="12.75">
      <c r="A9" s="3576"/>
      <c r="B9" s="3563"/>
      <c r="C9" s="3581"/>
      <c r="D9" s="3599"/>
      <c r="E9" s="131" t="s">
        <v>1272</v>
      </c>
      <c r="F9" s="1754"/>
      <c r="G9" s="1754"/>
      <c r="H9" s="1754"/>
      <c r="I9" s="1370"/>
    </row>
    <row r="10" spans="1:12" ht="12.75">
      <c r="A10" s="3576" t="s">
        <v>1273</v>
      </c>
      <c r="B10" s="3563">
        <v>15</v>
      </c>
      <c r="C10" s="3579"/>
      <c r="D10" s="3599"/>
      <c r="E10" s="131" t="s">
        <v>1274</v>
      </c>
      <c r="F10" s="1754"/>
      <c r="G10" s="1754"/>
      <c r="H10" s="1754"/>
      <c r="I10" s="1370"/>
    </row>
    <row r="11" spans="1:12" ht="12.75">
      <c r="A11" s="3576"/>
      <c r="B11" s="3563"/>
      <c r="C11" s="3581"/>
      <c r="D11" s="3599"/>
      <c r="E11" s="131" t="s">
        <v>1275</v>
      </c>
      <c r="F11" s="1754"/>
      <c r="G11" s="1754"/>
      <c r="H11" s="1754"/>
      <c r="I11" s="1370"/>
    </row>
    <row r="12" spans="1:12" ht="12.75">
      <c r="A12" s="3576" t="s">
        <v>1276</v>
      </c>
      <c r="B12" s="3563">
        <v>15</v>
      </c>
      <c r="C12" s="3579"/>
      <c r="D12" s="3599"/>
      <c r="E12" s="131" t="s">
        <v>1277</v>
      </c>
      <c r="F12" s="1754"/>
      <c r="G12" s="1754"/>
      <c r="H12" s="1754"/>
      <c r="I12" s="1370"/>
    </row>
    <row r="13" spans="1:12" ht="12.75">
      <c r="A13" s="3576"/>
      <c r="B13" s="3563"/>
      <c r="C13" s="3581"/>
      <c r="D13" s="3599"/>
      <c r="E13" s="131" t="s">
        <v>1278</v>
      </c>
      <c r="F13" s="1754"/>
      <c r="G13" s="1754"/>
      <c r="H13" s="1754"/>
      <c r="I13" s="1370"/>
    </row>
    <row r="14" spans="1:12" ht="12.75">
      <c r="A14" s="3576" t="s">
        <v>1279</v>
      </c>
      <c r="B14" s="3563">
        <v>30</v>
      </c>
      <c r="C14" s="3579">
        <v>5</v>
      </c>
      <c r="D14" s="3599">
        <v>5</v>
      </c>
      <c r="E14" s="131" t="s">
        <v>1280</v>
      </c>
      <c r="F14" s="1754"/>
      <c r="G14" s="1754"/>
      <c r="H14" s="1754"/>
      <c r="I14" s="1370"/>
    </row>
    <row r="15" spans="1:12" ht="12.75">
      <c r="A15" s="3576"/>
      <c r="B15" s="3563"/>
      <c r="C15" s="3580"/>
      <c r="D15" s="3599"/>
      <c r="E15" s="131" t="s">
        <v>1281</v>
      </c>
      <c r="F15" s="1754"/>
      <c r="G15" s="1754"/>
      <c r="H15" s="1754"/>
      <c r="I15" s="1370"/>
    </row>
    <row r="16" spans="1:12" ht="12.75">
      <c r="A16" s="3576"/>
      <c r="B16" s="3563"/>
      <c r="C16" s="3581"/>
      <c r="D16" s="3599"/>
      <c r="E16" s="131" t="s">
        <v>1282</v>
      </c>
      <c r="F16" s="1754"/>
      <c r="G16" s="1754"/>
      <c r="H16" s="1754"/>
      <c r="I16" s="1370"/>
    </row>
    <row r="17" spans="1:36" ht="15">
      <c r="A17" s="1755" t="s">
        <v>1283</v>
      </c>
      <c r="B17" s="56"/>
      <c r="C17" s="132">
        <f>SUM(C5:C16)</f>
        <v>5</v>
      </c>
      <c r="D17" s="132">
        <f>SUM(D5:D16)</f>
        <v>5</v>
      </c>
      <c r="E17" s="129"/>
      <c r="F17" s="129"/>
      <c r="G17" s="129"/>
      <c r="H17" s="129"/>
      <c r="I17" s="129"/>
      <c r="K17" s="302"/>
      <c r="L17" s="302" t="s">
        <v>1284</v>
      </c>
      <c r="M17" s="302" t="s">
        <v>1285</v>
      </c>
    </row>
    <row r="18" spans="1:36" ht="31.9" customHeight="1" thickBot="1">
      <c r="A18" s="1756" t="s">
        <v>1286</v>
      </c>
      <c r="B18" s="1757"/>
      <c r="C18" s="133">
        <f>ROUND(C17/SUM(C17:D17),2)</f>
        <v>0.5</v>
      </c>
      <c r="D18" s="133">
        <f>1-C18</f>
        <v>0.5</v>
      </c>
      <c r="E18" s="3586" t="s">
        <v>2129</v>
      </c>
      <c r="F18" s="3587"/>
      <c r="G18" s="3587"/>
      <c r="H18" s="3587"/>
      <c r="I18" s="3587"/>
      <c r="K18" s="302" t="s">
        <v>1287</v>
      </c>
      <c r="L18" s="302">
        <f>IF(C1="",'数据-汇总表'!E3,SUMIF(项目类型,C1,'数据-汇总表'!E17:E26)+SUMIF(项目类型,C1,'数据-汇总表'!I17:I26))</f>
        <v>105107.27999999982</v>
      </c>
      <c r="M18" s="302">
        <f>IF(C1="",'数据-汇总表'!E3,SUMIF(项目类型,C1,'数据-汇总表'!E17:E26))</f>
        <v>105107.27999999982</v>
      </c>
    </row>
    <row r="19" spans="1:36" ht="15">
      <c r="A19" s="1758" t="s">
        <v>1288</v>
      </c>
      <c r="B19" s="1759" t="s">
        <v>1289</v>
      </c>
      <c r="C19" s="134">
        <f ca="1">SUMIF(INDIRECT("'"&amp;C4&amp;"'"&amp;"!A:A"),结果表!B19,INDIRECT("'"&amp;C4&amp;"'"&amp;"!B:B"))</f>
        <v>529126</v>
      </c>
      <c r="D19" s="135">
        <f ca="1">SUMIF(INDIRECT("'"&amp;D4&amp;"'"&amp;"!A:A"),结果表!B19,INDIRECT("'"&amp;D4&amp;"'"&amp;"!B:B"))</f>
        <v>520266</v>
      </c>
      <c r="E19" s="1758" t="s">
        <v>1290</v>
      </c>
      <c r="F19" s="1759" t="s">
        <v>1289</v>
      </c>
      <c r="G19" s="136">
        <f ca="1">ROUND(C19*$C$18+D19*$D$18,0)</f>
        <v>524696</v>
      </c>
      <c r="H19" s="1760" t="s">
        <v>1291</v>
      </c>
      <c r="I19" s="129"/>
      <c r="K19" s="302" t="s">
        <v>1292</v>
      </c>
      <c r="L19" s="302">
        <f>IF(C1="",'数据-汇总表'!D3,SUMIF(项目类型,C1,'数据-汇总表'!D17:D26)+SUMIF(项目类型,C1,'数据-汇总表'!H17:H27))</f>
        <v>53915.27</v>
      </c>
      <c r="M19" s="302">
        <f>IF(C1="",'数据-汇总表'!D3,SUMIF(项目类型,C1,'数据-汇总表'!D17:D26))</f>
        <v>53915.27</v>
      </c>
    </row>
    <row r="20" spans="1:36" ht="15">
      <c r="A20" s="1761"/>
      <c r="B20" s="1024" t="s">
        <v>1293</v>
      </c>
      <c r="C20" s="137">
        <f ca="1">SUMIF(INDIRECT("'"&amp;C4&amp;"'"&amp;"!A:A"),结果表!B20,INDIRECT("'"&amp;C4&amp;"'"&amp;"!B:B"))</f>
        <v>50342</v>
      </c>
      <c r="D20" s="138">
        <f ca="1">SUMIF(INDIRECT("'"&amp;D4&amp;"'"&amp;"!A:A"),结果表!B20,INDIRECT("'"&amp;D4&amp;"'"&amp;"!B:B"))</f>
        <v>49499</v>
      </c>
      <c r="E20" s="1761"/>
      <c r="F20" s="1024" t="s">
        <v>1293</v>
      </c>
      <c r="G20" s="139">
        <f ca="1">ROUND(C20*$C$18+D20*$D$18,0)</f>
        <v>49921</v>
      </c>
      <c r="H20" s="806" t="s">
        <v>1294</v>
      </c>
      <c r="I20" s="129"/>
    </row>
    <row r="21" spans="1:36" ht="15" customHeight="1" thickBot="1">
      <c r="A21" s="826"/>
      <c r="B21" s="1762" t="s">
        <v>1295</v>
      </c>
      <c r="C21" s="717">
        <f ca="1">ROUND(C19*10000/L19,0)</f>
        <v>98140</v>
      </c>
      <c r="D21" s="718">
        <f ca="1">ROUND(D19*10000/L19,0)</f>
        <v>96497</v>
      </c>
      <c r="E21" s="826"/>
      <c r="F21" s="1762" t="s">
        <v>1295</v>
      </c>
      <c r="G21" s="140">
        <f ca="1">ROUND(G19*10000/L19,0)</f>
        <v>97319</v>
      </c>
      <c r="H21" s="1763" t="s">
        <v>1294</v>
      </c>
      <c r="I21" s="129"/>
    </row>
    <row r="22" spans="1:36" ht="15" thickBot="1">
      <c r="A22" s="1685" t="s">
        <v>1296</v>
      </c>
      <c r="B22" s="1764"/>
      <c r="C22" s="1765"/>
      <c r="D22" s="719">
        <f ca="1">IF(C19&lt;D19,D19/C19-1,C19/D19-1)</f>
        <v>1.7029750166261071E-2</v>
      </c>
      <c r="E22" s="129"/>
      <c r="F22" s="129"/>
      <c r="G22" s="129"/>
      <c r="H22" s="129"/>
      <c r="I22" s="129"/>
    </row>
    <row r="23" spans="1:36" ht="13.5" thickBot="1">
      <c r="A23" s="1744"/>
      <c r="B23" s="1744"/>
      <c r="C23" s="1744"/>
      <c r="D23" s="1744"/>
      <c r="E23" s="129"/>
      <c r="F23" s="129"/>
      <c r="G23" s="129"/>
      <c r="H23" s="129"/>
      <c r="I23" s="129"/>
    </row>
    <row r="24" spans="1:36" ht="14.25">
      <c r="A24" s="3570" t="s">
        <v>1297</v>
      </c>
      <c r="B24" s="1759" t="s">
        <v>1289</v>
      </c>
      <c r="C24" s="136">
        <f>IF(B30=0,0,D30)</f>
        <v>0</v>
      </c>
      <c r="D24" s="1766"/>
      <c r="E24" s="129"/>
      <c r="F24" s="129"/>
      <c r="G24" s="129"/>
      <c r="H24" s="129"/>
      <c r="I24" s="129"/>
    </row>
    <row r="25" spans="1:36" ht="14.25">
      <c r="A25" s="3571"/>
      <c r="B25" s="1024" t="s">
        <v>1293</v>
      </c>
      <c r="C25" s="141">
        <f>IF(B30=0,0,C30)</f>
        <v>0</v>
      </c>
      <c r="D25" s="1767"/>
      <c r="E25" s="129"/>
      <c r="F25" s="129"/>
      <c r="G25" s="129"/>
      <c r="H25" s="129"/>
      <c r="I25" s="129"/>
    </row>
    <row r="26" spans="1:36" ht="13.5" customHeight="1">
      <c r="A26" s="1768" t="s">
        <v>1298</v>
      </c>
      <c r="B26" s="142" t="s">
        <v>1299</v>
      </c>
      <c r="C26" s="142" t="s">
        <v>1300</v>
      </c>
      <c r="D26" s="143" t="s">
        <v>1301</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1302</v>
      </c>
      <c r="B30" s="142"/>
      <c r="C30" s="142"/>
      <c r="D30" s="142"/>
      <c r="E30" s="2297" t="s">
        <v>2130</v>
      </c>
      <c r="F30" s="129"/>
      <c r="G30" s="129"/>
      <c r="H30" s="129"/>
      <c r="I30" s="129"/>
    </row>
    <row r="31" spans="1:36" s="2303" customFormat="1" ht="26.45" customHeight="1" thickTop="1" thickBot="1">
      <c r="A31" s="2298"/>
      <c r="B31" s="2299"/>
      <c r="C31" s="2299"/>
      <c r="D31" s="2299"/>
      <c r="E31" s="2299"/>
      <c r="F31" s="2299"/>
      <c r="G31" s="2299"/>
      <c r="H31" s="2299"/>
      <c r="I31" s="2300" t="s">
        <v>2131</v>
      </c>
      <c r="J31" s="2680"/>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70" t="s">
        <v>1303</v>
      </c>
      <c r="B32" s="1771"/>
      <c r="C32" s="144">
        <f ca="1">IF(D32="总价",G19-C24,G20-C25)</f>
        <v>524696</v>
      </c>
      <c r="D32" s="1772" t="s">
        <v>3898</v>
      </c>
      <c r="E32" s="129"/>
      <c r="F32" s="129"/>
      <c r="G32" s="129"/>
      <c r="H32" s="129"/>
      <c r="I32" s="129"/>
    </row>
    <row r="33" spans="1:15" ht="15">
      <c r="A33" s="784" t="s">
        <v>1304</v>
      </c>
      <c r="B33" s="1773"/>
      <c r="C33" s="1774"/>
      <c r="D33" s="1775"/>
      <c r="E33" s="1776" t="s">
        <v>1305</v>
      </c>
      <c r="F33" s="1777" t="str">
        <f>IF(D32="楼面单价","取值（单价）","取值（总价）")</f>
        <v>取值（总价）</v>
      </c>
      <c r="G33" s="129"/>
      <c r="H33" s="129"/>
      <c r="I33" s="129"/>
    </row>
    <row r="34" spans="1:15" ht="15">
      <c r="A34" s="1778"/>
      <c r="B34" s="1779" t="s">
        <v>1306</v>
      </c>
      <c r="C34" s="148" t="e">
        <f ca="1">IF(C33="自定义",F34,C32-C35)</f>
        <v>#REF!</v>
      </c>
      <c r="D34" s="859" t="e">
        <f ca="1">IF(C33="自定义",ROUND(C34/C32,3),IF(C33="收益比率",SUMIF(INDIRECT("'"&amp;D33&amp;"'"&amp;"!b:b"),"土地收益比率",INDIRECT("'"&amp;D33&amp;"'"&amp;"!c:c")),SUMIF(INDIRECT("'"&amp;D33&amp;"'"&amp;"!b:b"),"土地成本比率",INDIRECT("'"&amp;D33&amp;"'"&amp;"!c:c"))))</f>
        <v>#REF!</v>
      </c>
      <c r="E34" s="1780" t="s">
        <v>1307</v>
      </c>
      <c r="F34" s="1327"/>
      <c r="G34" s="129"/>
      <c r="H34" s="129"/>
      <c r="I34" s="129"/>
    </row>
    <row r="35" spans="1:15" ht="15.75" thickBot="1">
      <c r="A35" s="1781"/>
      <c r="B35" s="1782" t="s">
        <v>1308</v>
      </c>
      <c r="C35" s="1168" t="e">
        <f ca="1">IF(C33="自定义",F35,ROUND(C32*D35,0))</f>
        <v>#REF!</v>
      </c>
      <c r="D35" s="1169" t="e">
        <f ca="1">IF(C33="自定义",ROUND(C35/C32,3),IF(C33="收益比率",SUMIF(INDIRECT("'"&amp;D33&amp;"'"&amp;"!b:b"),"建筑物收益比率",INDIRECT("'"&amp;D33&amp;"'"&amp;"!c:c")),SUMIF(INDIRECT("'"&amp;D33&amp;"'"&amp;"!b:b"),"建筑物成本比率",INDIRECT("'"&amp;D33&amp;"'"&amp;"!c:c"))))</f>
        <v>#REF!</v>
      </c>
      <c r="E35" s="1783" t="s">
        <v>1309</v>
      </c>
      <c r="F35" s="154"/>
      <c r="G35" s="129"/>
      <c r="H35" s="129"/>
      <c r="I35" s="129"/>
    </row>
    <row r="36" spans="1:15" ht="15.75" thickBot="1">
      <c r="A36" s="3590" t="s">
        <v>1310</v>
      </c>
      <c r="B36" s="1784" t="s">
        <v>1311</v>
      </c>
      <c r="C36" s="145"/>
      <c r="D36" s="1785"/>
      <c r="E36" s="1786"/>
      <c r="F36" s="1787"/>
      <c r="G36" s="129"/>
      <c r="H36" s="129"/>
      <c r="I36" s="129"/>
    </row>
    <row r="37" spans="1:15" ht="15.75" thickBot="1">
      <c r="A37" s="3591"/>
      <c r="B37" s="1671" t="s">
        <v>1312</v>
      </c>
      <c r="C37" s="147"/>
      <c r="D37" s="1137"/>
      <c r="E37" s="1137"/>
      <c r="F37" s="1787"/>
      <c r="G37" s="129"/>
      <c r="H37" s="129"/>
      <c r="I37" s="129"/>
    </row>
    <row r="38" spans="1:15" ht="15.75" thickBot="1">
      <c r="A38" s="3592"/>
      <c r="B38" s="1788" t="s">
        <v>1313</v>
      </c>
      <c r="C38" s="672"/>
      <c r="D38" s="1789" t="s">
        <v>1314</v>
      </c>
      <c r="E38" s="1137"/>
      <c r="F38" s="1787"/>
      <c r="G38" s="129"/>
      <c r="H38" s="129"/>
      <c r="I38" s="129"/>
    </row>
    <row r="39" spans="1:15" ht="15">
      <c r="A39" s="1761" t="s">
        <v>1315</v>
      </c>
      <c r="B39" s="1790" t="s">
        <v>1316</v>
      </c>
      <c r="C39" s="1791" t="s">
        <v>1317</v>
      </c>
      <c r="D39" s="1791" t="s">
        <v>1318</v>
      </c>
      <c r="E39" s="1792" t="s">
        <v>1319</v>
      </c>
      <c r="F39" s="1787"/>
      <c r="G39" s="129"/>
      <c r="H39" s="129"/>
      <c r="I39" s="129"/>
    </row>
    <row r="40" spans="1:15" ht="14.25">
      <c r="A40" s="1793" t="s">
        <v>1320</v>
      </c>
      <c r="B40" s="149"/>
      <c r="C40" s="150"/>
      <c r="D40" s="150"/>
      <c r="E40" s="151"/>
      <c r="F40" s="1787"/>
      <c r="G40" s="129"/>
      <c r="H40" s="129"/>
      <c r="I40" s="129"/>
    </row>
    <row r="41" spans="1:15" ht="14.25">
      <c r="A41" s="1793" t="s">
        <v>1321</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hidden="1">
      <c r="A44" s="1797" t="s">
        <v>1322</v>
      </c>
      <c r="B44" s="1798"/>
      <c r="C44" s="1798"/>
      <c r="D44" s="1799"/>
      <c r="E44" s="1799"/>
      <c r="F44" s="1800"/>
      <c r="G44" s="1800"/>
      <c r="H44" s="1800"/>
      <c r="I44" s="1800"/>
      <c r="J44" s="1801" t="s">
        <v>1323</v>
      </c>
      <c r="K44" s="1802"/>
      <c r="L44" s="1802"/>
      <c r="M44" s="1802"/>
      <c r="N44" s="1802"/>
      <c r="O44" s="1802"/>
    </row>
    <row r="45" spans="1:15" ht="14.25" hidden="1" customHeight="1" thickBot="1">
      <c r="A45" s="3567" t="s">
        <v>1324</v>
      </c>
      <c r="B45" s="3568"/>
      <c r="C45" s="3569"/>
      <c r="D45" s="155">
        <f ca="1">ROUND(H101*F45,0)</f>
        <v>524696</v>
      </c>
      <c r="E45" s="156" t="s">
        <v>1325</v>
      </c>
      <c r="F45" s="157">
        <v>1</v>
      </c>
      <c r="G45" s="158" t="s">
        <v>1326</v>
      </c>
      <c r="H45" s="129"/>
      <c r="I45" s="129"/>
      <c r="J45" s="3645" t="s">
        <v>1327</v>
      </c>
      <c r="K45" s="3645"/>
      <c r="L45" s="3645"/>
      <c r="M45" s="3645"/>
      <c r="N45" s="3645"/>
      <c r="O45" s="3645"/>
    </row>
    <row r="46" spans="1:15" ht="14.25" hidden="1" customHeight="1">
      <c r="A46" s="3564" t="s">
        <v>1328</v>
      </c>
      <c r="B46" s="3565"/>
      <c r="C46" s="3565"/>
      <c r="D46" s="3565"/>
      <c r="E46" s="3565"/>
      <c r="F46" s="3565"/>
      <c r="G46" s="3566"/>
      <c r="H46" s="1803"/>
      <c r="I46" s="159"/>
      <c r="J46" s="2514">
        <v>1</v>
      </c>
      <c r="K46" s="3626" t="s">
        <v>1329</v>
      </c>
      <c r="L46" s="3626"/>
      <c r="M46" s="3646"/>
      <c r="N46" s="3646"/>
      <c r="O46" s="3646"/>
    </row>
    <row r="47" spans="1:15" ht="12" hidden="1" customHeight="1">
      <c r="A47" s="160" t="s">
        <v>1330</v>
      </c>
      <c r="B47" s="161"/>
      <c r="C47" s="162"/>
      <c r="D47" s="1085" t="s">
        <v>1331</v>
      </c>
      <c r="E47" s="302" t="s">
        <v>1332</v>
      </c>
      <c r="F47" s="163" t="s">
        <v>1333</v>
      </c>
      <c r="G47" s="2537" t="s">
        <v>1334</v>
      </c>
      <c r="H47" s="2538"/>
      <c r="I47" s="159"/>
      <c r="J47" s="2514">
        <v>2</v>
      </c>
      <c r="K47" s="3626" t="s">
        <v>1335</v>
      </c>
      <c r="L47" s="3626"/>
      <c r="M47" s="3647">
        <f>'数据-取费表'!B2</f>
        <v>45576</v>
      </c>
      <c r="N47" s="3647"/>
      <c r="O47" s="3647"/>
    </row>
    <row r="48" spans="1:15" ht="25.5" hidden="1">
      <c r="A48" s="3595" t="s">
        <v>1336</v>
      </c>
      <c r="B48" s="3578"/>
      <c r="C48" s="3578"/>
      <c r="D48" s="2318" t="b">
        <f>IF(H48="情况1",0,IF(H48="情况2",D52,IF(H48="情况3",D53,IF(H48="情况4",D54))))</f>
        <v>0</v>
      </c>
      <c r="E48" s="2328" t="str">
        <f>IF(H48="情况4","(销售额-原购置价)×税（费）率","销售额×税（费）率")</f>
        <v>销售额×税（费）率</v>
      </c>
      <c r="F48" s="2539">
        <f>IF(H48="情况1","免征",'数据-取费表'!B41)</f>
        <v>5.6000000000000001E-2</v>
      </c>
      <c r="G48" s="2540" t="s">
        <v>1337</v>
      </c>
      <c r="H48" s="2541"/>
      <c r="I48" s="1803"/>
      <c r="J48" s="2514">
        <v>3</v>
      </c>
      <c r="K48" s="3626" t="s">
        <v>1338</v>
      </c>
      <c r="L48" s="3626"/>
      <c r="M48" s="3648">
        <f ca="1">H101</f>
        <v>524696</v>
      </c>
      <c r="N48" s="3648"/>
      <c r="O48" s="3648"/>
    </row>
    <row r="49" spans="1:35" ht="25.5" hidden="1" customHeight="1">
      <c r="A49" s="2327" t="s">
        <v>1339</v>
      </c>
      <c r="B49" s="3562" t="s">
        <v>1340</v>
      </c>
      <c r="C49" s="3562"/>
      <c r="D49" s="1587">
        <v>0</v>
      </c>
      <c r="E49" s="324" t="s">
        <v>1341</v>
      </c>
      <c r="F49" s="2417" t="s">
        <v>28</v>
      </c>
      <c r="G49" s="3632"/>
      <c r="H49" s="2304" t="s">
        <v>2132</v>
      </c>
      <c r="I49" s="2305"/>
      <c r="J49" s="2514">
        <v>4</v>
      </c>
      <c r="K49" s="3626" t="str">
        <f>IF(项目基本情况!E8="房地产抵押价值","房地产抵押价值","抵押担保权已注销时的房地产抵押价值")</f>
        <v>房地产抵押价值</v>
      </c>
      <c r="L49" s="3626"/>
      <c r="M49" s="3648">
        <f ca="1">IF(项目基本情况!E8="房地产抵押价值",H107,H109)</f>
        <v>524696</v>
      </c>
      <c r="N49" s="3648"/>
      <c r="O49" s="3648"/>
    </row>
    <row r="50" spans="1:35" ht="25.5" hidden="1" customHeight="1">
      <c r="A50" s="2542"/>
      <c r="B50" s="3562" t="s">
        <v>1342</v>
      </c>
      <c r="C50" s="3562"/>
      <c r="D50" s="2543"/>
      <c r="E50" s="332"/>
      <c r="F50" s="2417"/>
      <c r="G50" s="3633"/>
      <c r="H50" s="2306" t="s">
        <v>2133</v>
      </c>
      <c r="I50" s="2305"/>
      <c r="J50" s="3645" t="s">
        <v>1343</v>
      </c>
      <c r="K50" s="3645"/>
      <c r="L50" s="3645"/>
      <c r="M50" s="3645"/>
      <c r="N50" s="3645"/>
      <c r="O50" s="3645"/>
    </row>
    <row r="51" spans="1:35" ht="20.45" hidden="1" customHeight="1">
      <c r="A51" s="2544"/>
      <c r="B51" s="3562" t="s">
        <v>1344</v>
      </c>
      <c r="C51" s="3562"/>
      <c r="D51" s="1085"/>
      <c r="E51" s="327"/>
      <c r="F51" s="2417"/>
      <c r="G51" s="3634"/>
      <c r="H51" s="2306" t="s">
        <v>2134</v>
      </c>
      <c r="I51" s="2305"/>
      <c r="J51" s="2515" t="s">
        <v>1345</v>
      </c>
      <c r="K51" s="3626" t="s">
        <v>1346</v>
      </c>
      <c r="L51" s="3626"/>
      <c r="M51" s="2515" t="s">
        <v>1347</v>
      </c>
      <c r="N51" s="2515" t="s">
        <v>1348</v>
      </c>
      <c r="O51" s="2515" t="s">
        <v>1349</v>
      </c>
    </row>
    <row r="52" spans="1:35" ht="24" hidden="1" customHeight="1">
      <c r="A52" s="2329" t="s">
        <v>1350</v>
      </c>
      <c r="B52" s="3562" t="s">
        <v>1351</v>
      </c>
      <c r="C52" s="3562"/>
      <c r="D52" s="1085">
        <f ca="1">ROUND(D45*'数据-取费表'!B41/(1+'数据-取费表'!C42),0)</f>
        <v>27984</v>
      </c>
      <c r="E52" s="2328" t="s">
        <v>1352</v>
      </c>
      <c r="F52" s="2545">
        <f>'数据-取费表'!B41</f>
        <v>5.6000000000000001E-2</v>
      </c>
      <c r="G52" s="2546"/>
      <c r="H52" s="2535"/>
      <c r="I52" s="1804"/>
      <c r="J52" s="2514">
        <v>1</v>
      </c>
      <c r="K52" s="3627" t="s">
        <v>1353</v>
      </c>
      <c r="L52" s="3627"/>
      <c r="M52" s="2516" t="b">
        <f>D48</f>
        <v>0</v>
      </c>
      <c r="N52" s="2514" t="str">
        <f>E48</f>
        <v>销售额×税（费）率</v>
      </c>
      <c r="O52" s="2517">
        <f>F48</f>
        <v>5.6000000000000001E-2</v>
      </c>
    </row>
    <row r="53" spans="1:35" ht="12" hidden="1" customHeight="1">
      <c r="A53" s="2329" t="s">
        <v>1354</v>
      </c>
      <c r="B53" s="3588" t="s">
        <v>2282</v>
      </c>
      <c r="C53" s="3589"/>
      <c r="D53" s="1085">
        <f ca="1">ROUND(D45*'数据-取费表'!B41/(1+'数据-取费表'!C42),0)</f>
        <v>27984</v>
      </c>
      <c r="E53" s="2328" t="s">
        <v>1352</v>
      </c>
      <c r="F53" s="2545">
        <f>'数据-取费表'!B41</f>
        <v>5.6000000000000001E-2</v>
      </c>
      <c r="G53" s="2546"/>
      <c r="H53" s="2535"/>
      <c r="I53" s="1804"/>
      <c r="J53" s="2514">
        <v>2</v>
      </c>
      <c r="K53" s="3627" t="s">
        <v>1355</v>
      </c>
      <c r="L53" s="3627"/>
      <c r="M53" s="2516">
        <f t="shared" ref="M53:O54" ca="1" si="0">D55</f>
        <v>262</v>
      </c>
      <c r="N53" s="2514" t="str">
        <f t="shared" si="0"/>
        <v>销售额×税（费）率</v>
      </c>
      <c r="O53" s="2517" t="str">
        <f t="shared" si="0"/>
        <v>免征</v>
      </c>
    </row>
    <row r="54" spans="1:35" ht="12" hidden="1" customHeight="1">
      <c r="A54" s="2329" t="s">
        <v>1356</v>
      </c>
      <c r="B54" s="3588" t="s">
        <v>2283</v>
      </c>
      <c r="C54" s="3589"/>
      <c r="D54" s="1085">
        <f ca="1">C68</f>
        <v>27984</v>
      </c>
      <c r="E54" s="327" t="s">
        <v>1357</v>
      </c>
      <c r="F54" s="2545">
        <f>'数据-取费表'!B41</f>
        <v>5.6000000000000001E-2</v>
      </c>
      <c r="G54" s="2546"/>
      <c r="H54" s="2547"/>
      <c r="I54" s="1804"/>
      <c r="J54" s="2514">
        <v>3</v>
      </c>
      <c r="K54" s="3627" t="s">
        <v>1358</v>
      </c>
      <c r="L54" s="3627"/>
      <c r="M54" s="2516">
        <f t="shared" ca="1" si="0"/>
        <v>296978</v>
      </c>
      <c r="N54" s="2514" t="str">
        <f t="shared" si="0"/>
        <v>增值额×税（费）率</v>
      </c>
      <c r="O54" s="2518" t="str">
        <f t="shared" si="0"/>
        <v>免征</v>
      </c>
    </row>
    <row r="55" spans="1:35" ht="24" hidden="1" customHeight="1">
      <c r="A55" s="3577" t="s">
        <v>1359</v>
      </c>
      <c r="B55" s="3578"/>
      <c r="C55" s="3578"/>
      <c r="D55" s="2318">
        <f ca="1">IF(H55="个人住宅",0,ROUND(D45*I55,0))</f>
        <v>262</v>
      </c>
      <c r="E55" s="2328" t="s">
        <v>1360</v>
      </c>
      <c r="F55" s="2545" t="str">
        <f>IF(H55="正常",I55,"免征")</f>
        <v>免征</v>
      </c>
      <c r="G55" s="2546"/>
      <c r="H55" s="2541"/>
      <c r="I55" s="165">
        <f>'数据-取费表'!B49</f>
        <v>5.0000000000000001E-4</v>
      </c>
      <c r="J55" s="2514">
        <f>IF(H59="非个人房产","",4)</f>
        <v>4</v>
      </c>
      <c r="K55" s="3627" t="str">
        <f>IF(H59="非个人房产","——","个人所得税")</f>
        <v>个人所得税</v>
      </c>
      <c r="L55" s="3627"/>
      <c r="M55" s="2519">
        <f ca="1">D59</f>
        <v>4997</v>
      </c>
      <c r="N55" s="2034" t="str">
        <f>E59</f>
        <v>差额计税</v>
      </c>
      <c r="O55" s="2520">
        <f>F59</f>
        <v>0.01</v>
      </c>
    </row>
    <row r="56" spans="1:35" ht="24.75" hidden="1">
      <c r="A56" s="3577" t="s">
        <v>1361</v>
      </c>
      <c r="B56" s="3578"/>
      <c r="C56" s="3578"/>
      <c r="D56" s="2318">
        <f ca="1">IF(H56="个人住宅",D57,D58)</f>
        <v>296978</v>
      </c>
      <c r="E56" s="2328" t="s">
        <v>1362</v>
      </c>
      <c r="F56" s="2545" t="str">
        <f>IF(H56="正常",F58,"免征")</f>
        <v>免征</v>
      </c>
      <c r="G56" s="2548" t="s">
        <v>1363</v>
      </c>
      <c r="H56" s="2549"/>
      <c r="I56" s="1805"/>
      <c r="J56" s="2514" t="str">
        <f>IF(项目基本情况!K6="上海银行",IF(J55="",4,J55+1),"")</f>
        <v/>
      </c>
      <c r="K56" s="3650" t="str">
        <f>IF(项目基本情况!K6="上海银行","其他处置费用","")</f>
        <v/>
      </c>
      <c r="L56" s="3651"/>
      <c r="M56" s="2516" t="str">
        <f>IF(项目基本情况!K6="上海银行",M69,"")</f>
        <v/>
      </c>
      <c r="N56" s="3650" t="str">
        <f>IF(项目基本情况!K6="上海银行","包含处置中涉及的律师、诉讼、拍卖、评估等费用","")</f>
        <v/>
      </c>
      <c r="O56" s="3653"/>
    </row>
    <row r="57" spans="1:35" ht="12.75" hidden="1">
      <c r="A57" s="2329" t="s">
        <v>1339</v>
      </c>
      <c r="B57" s="3588" t="s">
        <v>1364</v>
      </c>
      <c r="C57" s="3589"/>
      <c r="D57" s="1587">
        <v>0</v>
      </c>
      <c r="E57" s="324" t="s">
        <v>1341</v>
      </c>
      <c r="F57" s="302"/>
      <c r="G57" s="2546"/>
      <c r="H57" s="2550"/>
      <c r="I57" s="1805"/>
      <c r="J57" s="3627">
        <f>IF(AND(J55="",J56=""),4,IF(项目基本情况!K6="上海银行",结果表!J56+1,结果表!J55+1))</f>
        <v>5</v>
      </c>
      <c r="K57" s="3627" t="s">
        <v>1365</v>
      </c>
      <c r="L57" s="2521" t="s">
        <v>1366</v>
      </c>
      <c r="M57" s="2522"/>
      <c r="N57" s="2523">
        <f ca="1">SUMIF(M52:M56,"&lt;9e307")</f>
        <v>302237</v>
      </c>
      <c r="O57" s="2524"/>
      <c r="P57" s="2681">
        <f ca="1">N57/M49</f>
        <v>0.57602306859591079</v>
      </c>
    </row>
    <row r="58" spans="1:35" ht="24.75" hidden="1">
      <c r="A58" s="2329" t="s">
        <v>1350</v>
      </c>
      <c r="B58" s="3588" t="s">
        <v>1367</v>
      </c>
      <c r="C58" s="3562"/>
      <c r="D58" s="2318">
        <f ca="1">IF(H58="转让取得",C81,C97)</f>
        <v>296978</v>
      </c>
      <c r="E58" s="2328" t="s">
        <v>1362</v>
      </c>
      <c r="F58" s="302" t="s">
        <v>28</v>
      </c>
      <c r="G58" s="2546"/>
      <c r="H58" s="2549"/>
      <c r="I58" s="1805"/>
      <c r="J58" s="3627"/>
      <c r="K58" s="3627"/>
      <c r="L58" s="2521" t="s">
        <v>1368</v>
      </c>
      <c r="M58" s="2525"/>
      <c r="N58" s="2526" t="str">
        <f ca="1">NUMBERSTRING(INT(N57*10000),2)&amp;"元整"</f>
        <v>叁拾亿贰仟贰佰叁拾柒万元整</v>
      </c>
      <c r="O58" s="2527"/>
    </row>
    <row r="59" spans="1:35" ht="24.75" hidden="1" thickBot="1">
      <c r="A59" s="3630" t="s">
        <v>1369</v>
      </c>
      <c r="B59" s="3631"/>
      <c r="C59" s="3631"/>
      <c r="D59" s="2551">
        <f ca="1">IF(H59="非个人房产","——",IF(H59="个人住宅（满五唯一有凭证）",0,IF(H59="个人其他（无凭证）",ROUND(D45*F59,0),ROUND(C67*F59,0))))</f>
        <v>4997</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1363</v>
      </c>
      <c r="H59" s="2308"/>
      <c r="I59" s="2307" t="s">
        <v>2135</v>
      </c>
      <c r="J59" s="3628">
        <f>J57+1</f>
        <v>6</v>
      </c>
      <c r="K59" s="3627" t="s">
        <v>1370</v>
      </c>
      <c r="L59" s="2514" t="s">
        <v>1366</v>
      </c>
      <c r="M59" s="2528"/>
      <c r="N59" s="2529">
        <f ca="1">M49-N57</f>
        <v>222459</v>
      </c>
      <c r="O59" s="2530"/>
    </row>
    <row r="60" spans="1:35" ht="12" hidden="1" customHeight="1">
      <c r="A60" s="1806"/>
      <c r="B60" s="1744"/>
      <c r="C60" s="1744"/>
      <c r="D60" s="1744"/>
      <c r="E60" s="1575"/>
      <c r="F60" s="1805"/>
      <c r="G60" s="1805"/>
      <c r="H60" s="1807"/>
      <c r="I60" s="129"/>
      <c r="J60" s="3629"/>
      <c r="K60" s="3627"/>
      <c r="L60" s="2521" t="s">
        <v>1368</v>
      </c>
      <c r="M60" s="2525"/>
      <c r="N60" s="2526" t="str">
        <f ca="1">NUMBERSTRING(INT(N59*10000),2)&amp;"元整"</f>
        <v>贰拾贰亿贰仟肆佰伍拾玖万元整</v>
      </c>
      <c r="O60" s="2527"/>
    </row>
    <row r="61" spans="1:35" ht="13.5" hidden="1" thickBot="1">
      <c r="A61" s="3575" t="s">
        <v>1371</v>
      </c>
      <c r="B61" s="3575"/>
      <c r="C61" s="3575"/>
      <c r="D61" s="3575"/>
      <c r="E61" s="3575"/>
      <c r="F61" s="1805"/>
      <c r="G61" s="1805"/>
      <c r="H61" s="1807"/>
      <c r="I61" s="129"/>
      <c r="J61" s="2514">
        <f>J59+1</f>
        <v>7</v>
      </c>
      <c r="K61" s="3627" t="s">
        <v>1372</v>
      </c>
      <c r="L61" s="3627"/>
      <c r="M61" s="2531"/>
      <c r="N61" s="2532">
        <f ca="1">ROUND(N59*10000/'数据-汇总表'!E3,0)</f>
        <v>21165</v>
      </c>
      <c r="O61" s="2533"/>
    </row>
    <row r="62" spans="1:35" ht="12.75" hidden="1">
      <c r="A62" s="3593" t="s">
        <v>1373</v>
      </c>
      <c r="B62" s="3594"/>
      <c r="C62" s="2015"/>
      <c r="D62" s="2015" t="s">
        <v>1374</v>
      </c>
      <c r="E62" s="166" t="s">
        <v>1375</v>
      </c>
      <c r="F62" s="1805"/>
      <c r="G62" s="1805"/>
      <c r="H62" s="1807"/>
      <c r="I62" s="129"/>
    </row>
    <row r="63" spans="1:35" ht="12.75" hidden="1">
      <c r="A63" s="173" t="s">
        <v>330</v>
      </c>
      <c r="B63" s="167" t="s">
        <v>1376</v>
      </c>
      <c r="C63" s="2555">
        <f ca="1">ROUND((C64+C65)/(1+'数据-取费表'!C42),0)</f>
        <v>499710</v>
      </c>
      <c r="D63" s="167"/>
      <c r="E63" s="168"/>
      <c r="F63" s="1805"/>
      <c r="G63" s="1805"/>
      <c r="H63" s="1807"/>
      <c r="I63" s="129"/>
      <c r="J63" s="3652" t="s">
        <v>1377</v>
      </c>
      <c r="K63" s="1329" t="s">
        <v>1378</v>
      </c>
      <c r="L63" s="1329">
        <f ca="1">IF(M49&gt;10000,M49*0.5%,IF(AND(M49&gt;1000,M49&lt;=10000),M49*1%,IF(AND(M49&gt;100,M49&lt;=1000),M49*3%,IF(AND(M49&gt;10,M49&lt;=100),M49*5%,M49*8%))))</f>
        <v>2623.48</v>
      </c>
      <c r="M63" s="302">
        <f ca="1">ROUND(L63,1)</f>
        <v>2623.5</v>
      </c>
      <c r="N63" s="2534"/>
      <c r="Z63" s="1749"/>
      <c r="AI63" s="1750"/>
    </row>
    <row r="64" spans="1:35" ht="14.25" hidden="1" customHeight="1">
      <c r="A64" s="169" t="s">
        <v>325</v>
      </c>
      <c r="B64" s="170" t="s">
        <v>1379</v>
      </c>
      <c r="C64" s="2556">
        <f ca="1">D45</f>
        <v>524696</v>
      </c>
      <c r="D64" s="170" t="s">
        <v>26</v>
      </c>
      <c r="E64" s="172"/>
      <c r="F64" s="1805"/>
      <c r="G64" s="1805"/>
      <c r="H64" s="1807"/>
      <c r="I64" s="129"/>
      <c r="J64" s="3652"/>
      <c r="K64" s="1329" t="s">
        <v>1380</v>
      </c>
      <c r="L64" s="1329">
        <f ca="1">IF(M49&gt;2000,M49*0.5%,IF(AND(M49&gt;1000,M49&lt;=2000),M49*0.6%,IF(AND(M49&gt;500,M49&lt;=1000),M49*0.7%,IF(AND(M49&gt;200,M49&lt;=500),M49*0.8%,IF(AND(M49&gt;100,M49&lt;=200),M49*0.9%,IF(AND(M49&gt;50,M49&lt;=100),M49*1%,IF(AND(M49&gt;20,M49&lt;=50),M49*1.5%,IF(AND(M49&gt;10,M49&lt;=20),M49*2%,IF(AND(M49&gt;1,M49&lt;=10),M49*2.5%)))))))))</f>
        <v>2623.48</v>
      </c>
      <c r="M64" s="302">
        <f t="shared" ref="M64:M65" ca="1" si="1">ROUND(L64,1)</f>
        <v>2623.5</v>
      </c>
      <c r="N64" s="2535" t="s">
        <v>1381</v>
      </c>
      <c r="Z64" s="1749"/>
      <c r="AI64" s="1750"/>
    </row>
    <row r="65" spans="1:35" ht="14.25" hidden="1" customHeight="1">
      <c r="A65" s="169" t="s">
        <v>326</v>
      </c>
      <c r="B65" s="170" t="s">
        <v>1382</v>
      </c>
      <c r="C65" s="2557"/>
      <c r="D65" s="170"/>
      <c r="E65" s="172"/>
      <c r="F65" s="1805"/>
      <c r="G65" s="1805"/>
      <c r="H65" s="1807"/>
      <c r="I65" s="129"/>
      <c r="J65" s="3652"/>
      <c r="K65" s="1329" t="s">
        <v>1383</v>
      </c>
      <c r="L65" s="1329">
        <f ca="1">IF(M49&gt;1000,M49*0.1%,IF(AND(M49&gt;500,M49&lt;=1000),M49*0.5%,IF(AND(M49&gt;50,M49&lt;=500),M49*1%,IF(AND(M49&gt;1,M49&lt;=50),M49*1.5%))))</f>
        <v>524.69600000000003</v>
      </c>
      <c r="M65" s="302">
        <f t="shared" ca="1" si="1"/>
        <v>524.70000000000005</v>
      </c>
      <c r="N65" s="2535" t="s">
        <v>1381</v>
      </c>
      <c r="Z65" s="1749"/>
      <c r="AI65" s="1750"/>
    </row>
    <row r="66" spans="1:35" ht="14.25" hidden="1" customHeight="1">
      <c r="A66" s="173" t="s">
        <v>327</v>
      </c>
      <c r="B66" s="174" t="s">
        <v>1384</v>
      </c>
      <c r="C66" s="2558"/>
      <c r="D66" s="174" t="s">
        <v>26</v>
      </c>
      <c r="E66" s="1335" t="s">
        <v>671</v>
      </c>
      <c r="F66" s="1805"/>
      <c r="G66" s="1805"/>
      <c r="H66" s="1807"/>
      <c r="I66" s="129"/>
      <c r="J66" s="3652"/>
      <c r="K66" s="1329" t="s">
        <v>1385</v>
      </c>
      <c r="L66" s="1329">
        <f ca="1">M49*0.5%</f>
        <v>2623.48</v>
      </c>
      <c r="M66" s="302">
        <f ca="1">IF(L66&gt;0.5,0.5,ROUND(L66,0))</f>
        <v>0.5</v>
      </c>
      <c r="N66" s="2535" t="s">
        <v>1386</v>
      </c>
      <c r="Z66" s="1749"/>
      <c r="AI66" s="1750"/>
    </row>
    <row r="67" spans="1:35" ht="14.25" hidden="1" customHeight="1">
      <c r="A67" s="173" t="s">
        <v>328</v>
      </c>
      <c r="B67" s="174" t="s">
        <v>1387</v>
      </c>
      <c r="C67" s="2559">
        <f ca="1">C63-C66</f>
        <v>499710</v>
      </c>
      <c r="D67" s="170" t="s">
        <v>26</v>
      </c>
      <c r="E67" s="172"/>
      <c r="F67" s="1805"/>
      <c r="G67" s="1805"/>
      <c r="H67" s="1807"/>
      <c r="I67" s="129"/>
      <c r="J67" s="3652"/>
      <c r="K67" s="1329" t="s">
        <v>1388</v>
      </c>
      <c r="L67" s="1329">
        <f ca="1">IF(M49&gt;=10000,(8.25+(M49-10000)*0.01%),IF(AND(M49&gt;=8000,M49&lt;10000),(7.85+(M49-8000)*0.02%),IF(AND(M49&gt;=5000,M49&lt;8000),(6.65+(M49-5000)*0.04%),IF(AND(M49&gt;=2000,M49&lt;5000),(4.25+(PM49-2000)*0.08%),IF(AND(M49&gt;=1000,M49&lt;2000),(2.75+(M49-1000)*0.15%),IF(AND(M49&gt;=100,M49&lt;1000),(0.5+(M49-100)*0.25%),IF(AND(M49&gt;0,M49&lt;100),M49*0.5%)))))))</f>
        <v>59.7196</v>
      </c>
      <c r="M67" s="302">
        <f ca="1">ROUND(L67*0.9,1)</f>
        <v>53.7</v>
      </c>
      <c r="N67" s="2534"/>
      <c r="Z67" s="1749"/>
      <c r="AI67" s="1750"/>
    </row>
    <row r="68" spans="1:35" ht="14.25" hidden="1" customHeight="1" thickBot="1">
      <c r="A68" s="176" t="s">
        <v>329</v>
      </c>
      <c r="B68" s="177" t="s">
        <v>1389</v>
      </c>
      <c r="C68" s="2560">
        <f ca="1">IF(C67&lt;=0,0,ROUND(C67*D68,0))</f>
        <v>27984</v>
      </c>
      <c r="D68" s="2561">
        <f>'数据-取费表'!B41</f>
        <v>5.6000000000000001E-2</v>
      </c>
      <c r="E68" s="178"/>
      <c r="F68" s="1805"/>
      <c r="G68" s="1805"/>
      <c r="H68" s="1807"/>
      <c r="I68" s="129"/>
      <c r="J68" s="3652"/>
      <c r="K68" s="1329" t="s">
        <v>1390</v>
      </c>
      <c r="L68" s="1329">
        <f ca="1">IF(M49&gt;10000,M49*0.5%,IF(AND(M49&gt;5000,M49&lt;=10000),M49*1%,IF(AND(M49&gt;1000,M49&lt;=5000),M49*2%,IF(AND(M49&gt;200,M49&lt;=1000),M49*3%,M49*5%))))</f>
        <v>2623.48</v>
      </c>
      <c r="M68" s="302">
        <f ca="1">ROUND(L68,1)</f>
        <v>2623.5</v>
      </c>
      <c r="N68" s="2534"/>
      <c r="Z68" s="1749"/>
      <c r="AI68" s="1750"/>
    </row>
    <row r="69" spans="1:35" s="1769" customFormat="1" ht="16.5" hidden="1" customHeight="1">
      <c r="A69" s="1808"/>
      <c r="B69" s="1809"/>
      <c r="C69" s="1810"/>
      <c r="D69" s="1811"/>
      <c r="E69" s="1812"/>
      <c r="F69" s="1575"/>
      <c r="G69" s="1575"/>
      <c r="H69" s="1574"/>
      <c r="I69" s="1744"/>
      <c r="J69" s="3652"/>
      <c r="K69" s="1329" t="s">
        <v>1391</v>
      </c>
      <c r="L69" s="1329"/>
      <c r="M69" s="302">
        <f ca="1">ROUND(SUM(M63:M68),0)</f>
        <v>8449</v>
      </c>
      <c r="N69" s="2536">
        <f ca="1">M69/M49</f>
        <v>1.610265753884154E-2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hidden="1" thickBot="1">
      <c r="A70" s="3614" t="s">
        <v>1392</v>
      </c>
      <c r="B70" s="3615"/>
      <c r="C70" s="3615"/>
      <c r="D70" s="3615"/>
      <c r="E70" s="3615"/>
      <c r="F70" s="3615"/>
      <c r="G70" s="3615"/>
      <c r="H70" s="3615"/>
      <c r="I70" s="1813"/>
      <c r="J70" s="2682"/>
      <c r="K70" s="2682"/>
      <c r="L70" s="2682"/>
      <c r="M70" s="2682"/>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hidden="1">
      <c r="A71" s="3593" t="s">
        <v>1373</v>
      </c>
      <c r="B71" s="3594"/>
      <c r="C71" s="2015"/>
      <c r="D71" s="2015" t="s">
        <v>1374</v>
      </c>
      <c r="E71" s="179" t="s">
        <v>1375</v>
      </c>
      <c r="F71" s="180"/>
      <c r="G71" s="180"/>
      <c r="H71" s="181"/>
      <c r="I71" s="1817"/>
      <c r="J71" s="2682"/>
      <c r="K71" s="2682"/>
      <c r="L71" s="2682"/>
      <c r="M71" s="2682"/>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hidden="1">
      <c r="A72" s="173" t="s">
        <v>330</v>
      </c>
      <c r="B72" s="174" t="s">
        <v>1393</v>
      </c>
      <c r="C72" s="2559">
        <f ca="1">ROUND(D45/(1+'数据-取费表'!C42),0)</f>
        <v>499710</v>
      </c>
      <c r="D72" s="170" t="s">
        <v>26</v>
      </c>
      <c r="E72" s="2325"/>
      <c r="F72" s="2324"/>
      <c r="G72" s="2324"/>
      <c r="H72" s="182"/>
      <c r="I72" s="1817"/>
      <c r="J72" s="2682"/>
      <c r="K72" s="2682"/>
      <c r="L72" s="2682"/>
      <c r="M72" s="2682"/>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hidden="1">
      <c r="A73" s="173" t="s">
        <v>327</v>
      </c>
      <c r="B73" s="163" t="s">
        <v>1394</v>
      </c>
      <c r="C73" s="2559">
        <f ca="1">C74+C78</f>
        <v>2998</v>
      </c>
      <c r="D73" s="170" t="s">
        <v>26</v>
      </c>
      <c r="E73" s="2325"/>
      <c r="F73" s="2324"/>
      <c r="G73" s="2324"/>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hidden="1">
      <c r="A74" s="169" t="s">
        <v>325</v>
      </c>
      <c r="B74" s="170" t="s">
        <v>1395</v>
      </c>
      <c r="C74" s="170">
        <f>ROUND(IF(G77="2016年5月1日后购买",C75/(1+'数据-取费表'!C42)+C76+C77,C75+C76+C77),0)</f>
        <v>0</v>
      </c>
      <c r="D74" s="170" t="s">
        <v>26</v>
      </c>
      <c r="E74" s="2325"/>
      <c r="F74" s="2324"/>
      <c r="G74" s="2324"/>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hidden="1">
      <c r="A75" s="169" t="s">
        <v>331</v>
      </c>
      <c r="B75" s="170" t="s">
        <v>1396</v>
      </c>
      <c r="C75" s="2562"/>
      <c r="D75" s="170" t="s">
        <v>26</v>
      </c>
      <c r="E75" s="184" t="s">
        <v>1397</v>
      </c>
      <c r="F75" s="2563"/>
      <c r="G75" s="184" t="s">
        <v>1398</v>
      </c>
      <c r="H75" s="2564"/>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hidden="1" customHeight="1">
      <c r="A76" s="169" t="s">
        <v>332</v>
      </c>
      <c r="B76" s="185" t="s">
        <v>1399</v>
      </c>
      <c r="C76" s="170">
        <f>IF(F75="购房发票",ROUND(C75*H75*D76,0),0)</f>
        <v>0</v>
      </c>
      <c r="D76" s="2565">
        <v>0.05</v>
      </c>
      <c r="E76" s="3588" t="s">
        <v>1400</v>
      </c>
      <c r="F76" s="3562"/>
      <c r="G76" s="3562"/>
      <c r="H76" s="3613"/>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hidden="1" customHeight="1">
      <c r="A77" s="169" t="s">
        <v>333</v>
      </c>
      <c r="B77" s="170" t="s">
        <v>1401</v>
      </c>
      <c r="C77" s="170">
        <f>ROUND(IF(G77="个人住宅",0,IF(G77="2016年5月1日前购买",C75*D77,C75*D77/(1+'数据-取费表'!C42))),0)</f>
        <v>0</v>
      </c>
      <c r="D77" s="2566">
        <f>'数据-取费表'!B48+'数据-取费表'!B49</f>
        <v>3.0499999999999999E-2</v>
      </c>
      <c r="E77" s="2318" t="s">
        <v>1402</v>
      </c>
      <c r="F77" s="186"/>
      <c r="G77" s="1819"/>
      <c r="H77" s="2326"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hidden="1" customHeight="1">
      <c r="A78" s="169" t="s">
        <v>326</v>
      </c>
      <c r="B78" s="170" t="s">
        <v>1403</v>
      </c>
      <c r="C78" s="2567">
        <f ca="1">ROUND(D45*D78/(1+'数据-取费表'!C42),0)</f>
        <v>2998</v>
      </c>
      <c r="D78" s="2568">
        <f>'数据-取费表'!B43</f>
        <v>6.000000000000001E-3</v>
      </c>
      <c r="E78" s="3572" t="s">
        <v>1404</v>
      </c>
      <c r="F78" s="3573"/>
      <c r="G78" s="3573"/>
      <c r="H78" s="3582"/>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hidden="1">
      <c r="A79" s="173" t="s">
        <v>334</v>
      </c>
      <c r="B79" s="174" t="s">
        <v>1405</v>
      </c>
      <c r="C79" s="2559">
        <f ca="1">C72-C73</f>
        <v>496712</v>
      </c>
      <c r="D79" s="170" t="s">
        <v>26</v>
      </c>
      <c r="E79" s="2325"/>
      <c r="F79" s="2324"/>
      <c r="G79" s="2324"/>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hidden="1">
      <c r="A80" s="173" t="s">
        <v>335</v>
      </c>
      <c r="B80" s="174" t="s">
        <v>1406</v>
      </c>
      <c r="C80" s="2569">
        <f ca="1">IF(C79&lt;=0,0,C79/C73)</f>
        <v>165.68112074716478</v>
      </c>
      <c r="D80" s="170"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hidden="1" thickBot="1">
      <c r="A81" s="176" t="s">
        <v>336</v>
      </c>
      <c r="B81" s="177" t="s">
        <v>1407</v>
      </c>
      <c r="C81" s="2570">
        <f ca="1">ROUND(IF(C79&lt;=0,0,IF(C80&gt;=200%,C79*60%-C73*35%,IF(C80&gt;=100%,C79*50%-C73*15%,IF(C80&gt;=50%,C79*40%-C73*5%,IF(C80&lt;50%,C79*30%,0))))),0)</f>
        <v>296978</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hidden="1"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hidden="1" thickBot="1">
      <c r="A83" s="3614" t="s">
        <v>1408</v>
      </c>
      <c r="B83" s="3615"/>
      <c r="C83" s="3615"/>
      <c r="D83" s="3615"/>
      <c r="E83" s="3615"/>
      <c r="F83" s="3615"/>
      <c r="G83" s="3615"/>
      <c r="H83" s="3615"/>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hidden="1">
      <c r="A84" s="3593" t="s">
        <v>1373</v>
      </c>
      <c r="B84" s="3594"/>
      <c r="C84" s="2015"/>
      <c r="D84" s="2015" t="s">
        <v>1374</v>
      </c>
      <c r="E84" s="179" t="s">
        <v>1375</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hidden="1">
      <c r="A85" s="173" t="s">
        <v>330</v>
      </c>
      <c r="B85" s="174" t="s">
        <v>1393</v>
      </c>
      <c r="C85" s="2559">
        <f ca="1">ROUND(D45/(1+'数据-取费表'!C42),0)</f>
        <v>499710</v>
      </c>
      <c r="D85" s="170" t="s">
        <v>26</v>
      </c>
      <c r="E85" s="2325"/>
      <c r="F85" s="2324"/>
      <c r="G85" s="2324"/>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hidden="1">
      <c r="A86" s="173" t="s">
        <v>327</v>
      </c>
      <c r="B86" s="163" t="s">
        <v>1394</v>
      </c>
      <c r="C86" s="2559">
        <f ca="1">IF(H88="仅含出让金",C87+C90+C91+C92+C93+C94,C87+C91+C92+C93+C94)</f>
        <v>2998</v>
      </c>
      <c r="D86" s="2572"/>
      <c r="E86" s="2325"/>
      <c r="F86" s="2324"/>
      <c r="G86" s="2324"/>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hidden="1">
      <c r="A87" s="169" t="s">
        <v>325</v>
      </c>
      <c r="B87" s="170" t="s">
        <v>1409</v>
      </c>
      <c r="C87" s="2567">
        <f>C88+C89</f>
        <v>0</v>
      </c>
      <c r="D87" s="2568"/>
      <c r="E87" s="2320"/>
      <c r="F87" s="2321"/>
      <c r="G87" s="2321"/>
      <c r="H87" s="2322"/>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hidden="1">
      <c r="A88" s="169" t="s">
        <v>331</v>
      </c>
      <c r="B88" s="170" t="s">
        <v>1410</v>
      </c>
      <c r="C88" s="2573"/>
      <c r="D88" s="2568"/>
      <c r="E88" s="193" t="s">
        <v>1411</v>
      </c>
      <c r="F88" s="2321"/>
      <c r="G88" s="194" t="s">
        <v>1412</v>
      </c>
      <c r="H88" s="1821"/>
      <c r="I88" s="1818"/>
      <c r="J88" s="2512" t="s">
        <v>2279</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hidden="1">
      <c r="A89" s="169" t="s">
        <v>332</v>
      </c>
      <c r="B89" s="170" t="s">
        <v>1401</v>
      </c>
      <c r="C89" s="2567">
        <f>ROUND(C88*D89,0)</f>
        <v>0</v>
      </c>
      <c r="D89" s="2568">
        <f>'数据-取费表'!B48+'数据-取费表'!B49</f>
        <v>3.0499999999999999E-2</v>
      </c>
      <c r="E89" s="193" t="s">
        <v>1413</v>
      </c>
      <c r="F89" s="2321"/>
      <c r="G89" s="2321"/>
      <c r="H89" s="2322"/>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hidden="1">
      <c r="A90" s="169" t="s">
        <v>326</v>
      </c>
      <c r="B90" s="170" t="s">
        <v>1414</v>
      </c>
      <c r="C90" s="2573"/>
      <c r="D90" s="2568"/>
      <c r="E90" s="193" t="str">
        <f>IF(H88="-","土地取得成本中已包含该笔费用"," ")</f>
        <v xml:space="preserve"> </v>
      </c>
      <c r="F90" s="2321"/>
      <c r="G90" s="3654" t="s">
        <v>2127</v>
      </c>
      <c r="H90" s="3655"/>
      <c r="I90" s="1818"/>
      <c r="J90" s="2512" t="s">
        <v>2280</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hidden="1" customHeight="1">
      <c r="A91" s="169" t="s">
        <v>1415</v>
      </c>
      <c r="B91" s="170" t="s">
        <v>1416</v>
      </c>
      <c r="C91" s="2567">
        <f>IF(H91="——",成本法!C33,I91)</f>
        <v>0</v>
      </c>
      <c r="D91" s="2568"/>
      <c r="E91" s="3572" t="s">
        <v>1417</v>
      </c>
      <c r="F91" s="3573"/>
      <c r="G91" s="3573"/>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hidden="1" customHeight="1">
      <c r="A92" s="169" t="s">
        <v>1418</v>
      </c>
      <c r="B92" s="170" t="s">
        <v>1419</v>
      </c>
      <c r="C92" s="2567">
        <f>ROUND((C87+C90+C91)*D92,0)</f>
        <v>0</v>
      </c>
      <c r="D92" s="2574"/>
      <c r="E92" s="3572" t="s">
        <v>1420</v>
      </c>
      <c r="F92" s="3573"/>
      <c r="G92" s="3573"/>
      <c r="H92" s="3582"/>
      <c r="I92" s="1818"/>
      <c r="J92" s="2513" t="s">
        <v>2281</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hidden="1" customHeight="1">
      <c r="A93" s="169" t="s">
        <v>1421</v>
      </c>
      <c r="B93" s="170" t="s">
        <v>1403</v>
      </c>
      <c r="C93" s="2567">
        <f ca="1">ROUND(D45*D93/(1+'数据-取费表'!C42),0)</f>
        <v>2998</v>
      </c>
      <c r="D93" s="2568">
        <f>'数据-取费表'!B43</f>
        <v>6.000000000000001E-3</v>
      </c>
      <c r="E93" s="3572" t="s">
        <v>1404</v>
      </c>
      <c r="F93" s="3573"/>
      <c r="G93" s="3573"/>
      <c r="H93" s="3582"/>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hidden="1" customHeight="1">
      <c r="A94" s="169" t="s">
        <v>1422</v>
      </c>
      <c r="B94" s="170" t="s">
        <v>1423</v>
      </c>
      <c r="C94" s="2573">
        <f>ROUND((C87+C90+C91)*D94,0)</f>
        <v>0</v>
      </c>
      <c r="D94" s="2568">
        <v>0.2</v>
      </c>
      <c r="E94" s="3583" t="s">
        <v>1424</v>
      </c>
      <c r="F94" s="3584"/>
      <c r="G94" s="3584"/>
      <c r="H94" s="3585"/>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hidden="1">
      <c r="A95" s="173" t="s">
        <v>334</v>
      </c>
      <c r="B95" s="174" t="s">
        <v>1405</v>
      </c>
      <c r="C95" s="2559">
        <f ca="1">ROUND(C85-C86,0)</f>
        <v>496712</v>
      </c>
      <c r="D95" s="170" t="s">
        <v>26</v>
      </c>
      <c r="E95" s="2325"/>
      <c r="F95" s="2324"/>
      <c r="G95" s="2324"/>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hidden="1">
      <c r="A96" s="173" t="s">
        <v>335</v>
      </c>
      <c r="B96" s="174" t="s">
        <v>1406</v>
      </c>
      <c r="C96" s="2569">
        <f ca="1">IF(C95&lt;=0,0,C95/C86)</f>
        <v>165.68112074716478</v>
      </c>
      <c r="D96" s="170"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hidden="1" thickBot="1">
      <c r="A97" s="176" t="s">
        <v>336</v>
      </c>
      <c r="B97" s="177" t="s">
        <v>1407</v>
      </c>
      <c r="C97" s="2570">
        <f ca="1">ROUND(IF(C95&lt;=0,0,IF(C96&gt;=200%,C95*60%-C86*35%,IF(C96&gt;=100%,C95*50%-C86*15%,IF(C96&gt;=50%,C95*40%-C86*5%,IF(C96&lt;50%,C95*30%,0))))),0)</f>
        <v>296978</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hidden="1" customHeight="1">
      <c r="A98" s="1806"/>
      <c r="B98" s="1744"/>
      <c r="C98" s="1744"/>
      <c r="D98" s="1744"/>
      <c r="E98" s="1575"/>
      <c r="F98" s="1575"/>
      <c r="G98" s="1575"/>
      <c r="H98" s="1574"/>
      <c r="I98" s="129"/>
    </row>
    <row r="99" spans="1:35" ht="21.75" customHeight="1" thickBot="1">
      <c r="A99" s="1797" t="s">
        <v>1425</v>
      </c>
      <c r="B99" s="1744"/>
      <c r="C99" s="1744"/>
      <c r="D99" s="1744"/>
      <c r="E99" s="1575"/>
      <c r="F99" s="1575"/>
      <c r="G99" s="1575"/>
      <c r="H99" s="1574"/>
      <c r="I99" s="129"/>
    </row>
    <row r="100" spans="1:35" ht="18.75" customHeight="1">
      <c r="A100" s="3556" t="s">
        <v>1426</v>
      </c>
      <c r="B100" s="3557"/>
      <c r="C100" s="3557"/>
      <c r="D100" s="3574"/>
      <c r="E100" s="3557" t="s">
        <v>1427</v>
      </c>
      <c r="F100" s="3557"/>
      <c r="G100" s="3557"/>
      <c r="H100" s="3574"/>
      <c r="I100" s="129"/>
    </row>
    <row r="101" spans="1:35" ht="18.75" customHeight="1">
      <c r="A101" s="3635" t="s">
        <v>1428</v>
      </c>
      <c r="B101" s="3636"/>
      <c r="C101" s="2576" t="str">
        <f>C4</f>
        <v>土地比较法-住宅、综合</v>
      </c>
      <c r="D101" s="2577" t="str">
        <f>D4</f>
        <v>假设开发法</v>
      </c>
      <c r="E101" s="3649" t="s">
        <v>1429</v>
      </c>
      <c r="F101" s="3606"/>
      <c r="G101" s="1824" t="s">
        <v>1430</v>
      </c>
      <c r="H101" s="2586">
        <f ca="1">H118</f>
        <v>524696</v>
      </c>
      <c r="I101" s="129"/>
    </row>
    <row r="102" spans="1:35" ht="18.75" customHeight="1">
      <c r="A102" s="3608" t="s">
        <v>1431</v>
      </c>
      <c r="B102" s="2575" t="s">
        <v>1430</v>
      </c>
      <c r="C102" s="2576">
        <f ca="1">IF(D32="楼面单价",ROUND(C19,0),C19)</f>
        <v>529126</v>
      </c>
      <c r="D102" s="2577">
        <f ca="1">IF(D32="楼面单价",ROUND(D19,0),D19)</f>
        <v>520266</v>
      </c>
      <c r="E102" s="3649"/>
      <c r="F102" s="3606"/>
      <c r="G102" s="1824" t="s">
        <v>1432</v>
      </c>
      <c r="H102" s="2546">
        <f ca="1">I118</f>
        <v>49920</v>
      </c>
      <c r="I102" s="129"/>
    </row>
    <row r="103" spans="1:35" ht="42.75" customHeight="1">
      <c r="A103" s="3608"/>
      <c r="B103" s="2575" t="s">
        <v>1432</v>
      </c>
      <c r="C103" s="2578">
        <f ca="1">C20</f>
        <v>50342</v>
      </c>
      <c r="D103" s="2579">
        <f ca="1">D20</f>
        <v>49499</v>
      </c>
      <c r="E103" s="3643" t="s">
        <v>1433</v>
      </c>
      <c r="F103" s="3644"/>
      <c r="G103" s="1825" t="s">
        <v>1434</v>
      </c>
      <c r="H103" s="2586">
        <f>IF(D36="正常操作",H104+H105+H106,H105+H106)</f>
        <v>0</v>
      </c>
      <c r="I103" s="129"/>
    </row>
    <row r="104" spans="1:35" ht="18.75" customHeight="1">
      <c r="A104" s="3608" t="s">
        <v>1435</v>
      </c>
      <c r="B104" s="2580" t="s">
        <v>1430</v>
      </c>
      <c r="C104" s="2581">
        <f ca="1">H118</f>
        <v>524696</v>
      </c>
      <c r="D104" s="2582"/>
      <c r="E104" s="1671" t="s">
        <v>1436</v>
      </c>
      <c r="F104" s="1663"/>
      <c r="G104" s="1825" t="s">
        <v>1434</v>
      </c>
      <c r="H104" s="2587">
        <f>IF(D36="同一抵押权人同一抵押物续贷",C36&amp;"（续贷，未扣减，详见特别提示）",C36)</f>
        <v>0</v>
      </c>
      <c r="I104" s="129"/>
    </row>
    <row r="105" spans="1:35" ht="18.75" customHeight="1" thickBot="1">
      <c r="A105" s="3609"/>
      <c r="B105" s="2583" t="s">
        <v>1432</v>
      </c>
      <c r="C105" s="2584">
        <f ca="1">I118</f>
        <v>49920</v>
      </c>
      <c r="D105" s="2585"/>
      <c r="E105" s="1671" t="s">
        <v>1437</v>
      </c>
      <c r="F105" s="1663"/>
      <c r="G105" s="1825" t="s">
        <v>1434</v>
      </c>
      <c r="H105" s="2588">
        <f>C37</f>
        <v>0</v>
      </c>
      <c r="I105" s="129"/>
    </row>
    <row r="106" spans="1:35" ht="18.75" customHeight="1">
      <c r="A106" s="1744" t="s">
        <v>1438</v>
      </c>
      <c r="B106" s="1744"/>
      <c r="C106" s="1744"/>
      <c r="D106" s="1744"/>
      <c r="E106" s="1826" t="s">
        <v>1439</v>
      </c>
      <c r="F106" s="1663"/>
      <c r="G106" s="1825" t="s">
        <v>1434</v>
      </c>
      <c r="H106" s="2588">
        <f>C38</f>
        <v>0</v>
      </c>
      <c r="I106" s="129"/>
    </row>
    <row r="107" spans="1:35" ht="18.75" customHeight="1">
      <c r="A107" s="129"/>
      <c r="B107" s="129"/>
      <c r="C107" s="129"/>
      <c r="D107" s="129"/>
      <c r="E107" s="3605" t="str">
        <f>IF(项目基本情况!E8="已注销","——","3.房地产抵押价值")</f>
        <v>3.房地产抵押价值</v>
      </c>
      <c r="F107" s="3606"/>
      <c r="G107" s="1824" t="s">
        <v>1430</v>
      </c>
      <c r="H107" s="2586">
        <f ca="1">IF(E107="——","——",H101-H103)</f>
        <v>524696</v>
      </c>
      <c r="I107" s="129"/>
    </row>
    <row r="108" spans="1:35" ht="18.75" customHeight="1">
      <c r="A108" s="129"/>
      <c r="B108" s="129"/>
      <c r="C108" s="129"/>
      <c r="D108" s="129"/>
      <c r="E108" s="3605"/>
      <c r="F108" s="3606"/>
      <c r="G108" s="1824" t="s">
        <v>1432</v>
      </c>
      <c r="H108" s="2546">
        <f ca="1">IF(H107=H101,H102,ROUND(H107*10000/'数据-汇总表'!E3,0))</f>
        <v>49920</v>
      </c>
      <c r="I108" s="129"/>
    </row>
    <row r="109" spans="1:35" ht="18.75" customHeight="1">
      <c r="A109" s="129"/>
      <c r="B109" s="129"/>
      <c r="C109" s="129"/>
      <c r="D109" s="129"/>
      <c r="E109" s="3605" t="str">
        <f>IF(项目基本情况!E8="已注销及未注销","4.抵押担保权已注销时的房地产抵押价值",IF(项目基本情况!E8="已注销","3.抵押担保权已注销时的房地产抵押价值","——"))</f>
        <v>——</v>
      </c>
      <c r="F109" s="3606"/>
      <c r="G109" s="1824" t="s">
        <v>1430</v>
      </c>
      <c r="H109" s="2589" t="str">
        <f>IF(E109="——","——",H101-H105-H106)</f>
        <v>——</v>
      </c>
      <c r="I109" s="129"/>
    </row>
    <row r="110" spans="1:35" ht="18.75" customHeight="1">
      <c r="A110" s="129"/>
      <c r="B110" s="129"/>
      <c r="C110" s="129"/>
      <c r="D110" s="129"/>
      <c r="E110" s="3605"/>
      <c r="F110" s="3606"/>
      <c r="G110" s="1824" t="s">
        <v>1432</v>
      </c>
      <c r="H110" s="2546" t="str">
        <f>IF(H109="——","——",ROUND(H109*10000/'数据-汇总表'!E3,0))</f>
        <v>——</v>
      </c>
      <c r="I110" s="129"/>
    </row>
    <row r="111" spans="1:35" ht="18.75" customHeight="1">
      <c r="A111" s="129"/>
      <c r="B111" s="129"/>
      <c r="C111" s="129"/>
      <c r="D111" s="129"/>
      <c r="E111" s="3637" t="str">
        <f>IF(项目基本情况!E9="抵押净值",IF(OR(项目基本情况!E8="已注销",项目基本情况!E8="房地产抵押价值"),"4.抵押净值","5.抵押净值"),"——")</f>
        <v>——</v>
      </c>
      <c r="F111" s="3607"/>
      <c r="G111" s="1824" t="s">
        <v>1430</v>
      </c>
      <c r="H111" s="2586" t="str">
        <f>IF(E111="——","——",N59)</f>
        <v>——</v>
      </c>
      <c r="I111" s="129"/>
    </row>
    <row r="112" spans="1:35" ht="18.75" customHeight="1" thickBot="1">
      <c r="A112" s="129"/>
      <c r="B112" s="129"/>
      <c r="C112" s="129"/>
      <c r="D112" s="129"/>
      <c r="E112" s="3638"/>
      <c r="F112" s="3639"/>
      <c r="G112" s="1827" t="s">
        <v>1432</v>
      </c>
      <c r="H112" s="2590" t="str">
        <f>IF(E111="——","——",N61)</f>
        <v>——</v>
      </c>
      <c r="I112" s="129"/>
    </row>
    <row r="113" spans="1:27" ht="18.75" customHeight="1">
      <c r="A113" s="129"/>
      <c r="B113" s="129"/>
      <c r="C113" s="129"/>
      <c r="D113" s="129"/>
      <c r="E113" s="3610" t="s">
        <v>1438</v>
      </c>
      <c r="F113" s="3610"/>
      <c r="G113" s="3610"/>
      <c r="H113" s="3610"/>
      <c r="I113" s="129"/>
    </row>
    <row r="114" spans="1:27" ht="3.75" customHeight="1">
      <c r="A114" s="1744"/>
      <c r="B114" s="1744"/>
      <c r="C114" s="1744"/>
      <c r="D114" s="1744"/>
      <c r="E114" s="1806"/>
      <c r="F114" s="1806"/>
      <c r="G114" s="1806"/>
      <c r="H114" s="1806"/>
      <c r="I114" s="1744"/>
    </row>
    <row r="115" spans="1:27" ht="18.75" customHeight="1">
      <c r="A115" s="3620" t="s">
        <v>1440</v>
      </c>
      <c r="B115" s="3621"/>
      <c r="C115" s="3621"/>
      <c r="D115" s="3621"/>
      <c r="E115" s="3621"/>
      <c r="F115" s="3621"/>
      <c r="G115" s="3621"/>
      <c r="H115" s="3621"/>
      <c r="I115" s="3622"/>
    </row>
    <row r="116" spans="1:27" ht="27" customHeight="1">
      <c r="A116" s="3576" t="s">
        <v>1441</v>
      </c>
      <c r="B116" s="3611" t="s">
        <v>1442</v>
      </c>
      <c r="C116" s="3611" t="s">
        <v>1443</v>
      </c>
      <c r="D116" s="3624" t="s">
        <v>1444</v>
      </c>
      <c r="E116" s="3625"/>
      <c r="F116" s="3619" t="s">
        <v>1445</v>
      </c>
      <c r="G116" s="3619"/>
      <c r="H116" s="3576" t="s">
        <v>1446</v>
      </c>
      <c r="I116" s="3576"/>
    </row>
    <row r="117" spans="1:27" ht="18.75" customHeight="1">
      <c r="A117" s="3576"/>
      <c r="B117" s="3612"/>
      <c r="C117" s="3612"/>
      <c r="D117" s="2323" t="s">
        <v>1447</v>
      </c>
      <c r="E117" s="2323" t="s">
        <v>1448</v>
      </c>
      <c r="F117" s="2323" t="s">
        <v>1447</v>
      </c>
      <c r="G117" s="2323" t="s">
        <v>1449</v>
      </c>
      <c r="H117" s="2323" t="s">
        <v>1447</v>
      </c>
      <c r="I117" s="2323" t="s">
        <v>1449</v>
      </c>
    </row>
    <row r="118" spans="1:27" ht="24.75" customHeight="1">
      <c r="A118" s="2591" t="str">
        <f>项目基本情况!S2</f>
        <v>北京市北京市海淀区双新村棚户区改造项目2603-003-1地块R2二类居住用地出让国有建设用地使用权</v>
      </c>
      <c r="B118" s="2323">
        <f>M18</f>
        <v>105107.27999999982</v>
      </c>
      <c r="C118" s="2323">
        <f>M19</f>
        <v>53915.27</v>
      </c>
      <c r="D118" s="2323" t="e">
        <f ca="1">ROUND(IF(D32="总价",C34,E118*B118/10000),0)</f>
        <v>#REF!</v>
      </c>
      <c r="E118" s="2323" t="e">
        <f ca="1">ROUND(IF(C33="自定义",IF(D32="楼面单价",C34,D118*10000/B118),I118-G118),0)</f>
        <v>#REF!</v>
      </c>
      <c r="F118" s="2323" t="e">
        <f ca="1">ROUND(IF(D32="总价",C35,G118*B118/10000),0)</f>
        <v>#REF!</v>
      </c>
      <c r="G118" s="2323" t="e">
        <f ca="1">ROUND(IF(D32="楼面单价",C35,F118*10000/B118),0)</f>
        <v>#REF!</v>
      </c>
      <c r="H118" s="2323">
        <f ca="1">ROUND(IF(D32="总价",C32,I118*B118/10000),0)</f>
        <v>524696</v>
      </c>
      <c r="I118" s="2323">
        <f ca="1">ROUND(IF(D32="楼面单价",C32,H118*10000/B118),0)</f>
        <v>49920</v>
      </c>
    </row>
    <row r="119" spans="1:27" ht="18.75" customHeight="1">
      <c r="A119" s="3576" t="s">
        <v>1450</v>
      </c>
      <c r="B119" s="3576"/>
      <c r="C119" s="3576"/>
      <c r="D119" s="3616" t="e">
        <f ca="1">NUMBERSTRING(INT(D118*10000),2)&amp;"元整"</f>
        <v>#REF!</v>
      </c>
      <c r="E119" s="3618"/>
      <c r="F119" s="3616" t="e">
        <f ca="1">NUMBERSTRING(INT(F118*10000),2)&amp;"元整"</f>
        <v>#REF!</v>
      </c>
      <c r="G119" s="3618"/>
      <c r="H119" s="3616" t="str">
        <f ca="1">NUMBERSTRING(INT(H118*10000),2)&amp;"元整"</f>
        <v>伍拾贰亿肆仟陆佰玖拾陆万元整</v>
      </c>
      <c r="I119" s="3618"/>
    </row>
    <row r="120" spans="1:27" ht="18.75" customHeight="1">
      <c r="A120" s="3640" t="str">
        <f>IF(项目基本情况!B9="房地产市场价值","",MID(E103,3,LEN(E103)-2))</f>
        <v>估价师知悉的法定优先受偿款</v>
      </c>
      <c r="B120" s="3641"/>
      <c r="C120" s="3642"/>
      <c r="D120" s="3640">
        <f>H103</f>
        <v>0</v>
      </c>
      <c r="E120" s="3641"/>
      <c r="F120" s="3641"/>
      <c r="G120" s="3641"/>
      <c r="H120" s="3641"/>
      <c r="I120" s="3642"/>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6" t="s">
        <v>1450</v>
      </c>
      <c r="B121" s="3617"/>
      <c r="C121" s="3618"/>
      <c r="D121" s="3616" t="str">
        <f>IF(D120=0,"零元整",NUMBERSTRING(INT(D120*10000),2)&amp;"元整")</f>
        <v>零元整</v>
      </c>
      <c r="E121" s="3617"/>
      <c r="F121" s="3617"/>
      <c r="G121" s="3617"/>
      <c r="H121" s="3617"/>
      <c r="I121" s="3618"/>
      <c r="AA121" s="723"/>
    </row>
    <row r="122" spans="1:27" ht="18.75" customHeight="1">
      <c r="A122" s="3607" t="str">
        <f>IF(项目基本情况!B9="房地产市场价值","",MID(E107,3,LEN(E107)-2))</f>
        <v>房地产抵押价值</v>
      </c>
      <c r="B122" s="3607"/>
      <c r="C122" s="3607"/>
      <c r="D122" s="3640">
        <f ca="1">H107</f>
        <v>524696</v>
      </c>
      <c r="E122" s="3641"/>
      <c r="F122" s="3641"/>
      <c r="G122" s="3641"/>
      <c r="H122" s="3641"/>
      <c r="I122" s="3642"/>
      <c r="AA122" s="723"/>
    </row>
    <row r="123" spans="1:27" ht="18.75" customHeight="1">
      <c r="A123" s="3576" t="s">
        <v>1450</v>
      </c>
      <c r="B123" s="3576"/>
      <c r="C123" s="3576"/>
      <c r="D123" s="3616" t="str">
        <f ca="1">NUMBERSTRING(INT(D122*10000),2)&amp;"元整"</f>
        <v>伍拾贰亿肆仟陆佰玖拾陆万元整</v>
      </c>
      <c r="E123" s="3617"/>
      <c r="F123" s="3617"/>
      <c r="G123" s="3617"/>
      <c r="H123" s="3617"/>
      <c r="I123" s="3618"/>
      <c r="AA123" s="723"/>
    </row>
    <row r="124" spans="1:27" ht="18.75" customHeight="1">
      <c r="A124" s="3607" t="str">
        <f>IF(项目基本情况!B9="房地产市场价值","",MID(E109,3,LEN(E109)-2))</f>
        <v/>
      </c>
      <c r="B124" s="3607"/>
      <c r="C124" s="3607"/>
      <c r="D124" s="3640" t="str">
        <f>H109</f>
        <v>——</v>
      </c>
      <c r="E124" s="3641"/>
      <c r="F124" s="3641"/>
      <c r="G124" s="3641"/>
      <c r="H124" s="3641"/>
      <c r="I124" s="3642"/>
      <c r="AA124" s="723"/>
    </row>
    <row r="125" spans="1:27" ht="18.75" customHeight="1">
      <c r="A125" s="3576" t="s">
        <v>1450</v>
      </c>
      <c r="B125" s="3576"/>
      <c r="C125" s="3576"/>
      <c r="D125" s="3616" t="e">
        <f>NUMBERSTRING(INT(D124*10000),2)&amp;"元整"</f>
        <v>#VALUE!</v>
      </c>
      <c r="E125" s="3617"/>
      <c r="F125" s="3617"/>
      <c r="G125" s="3617"/>
      <c r="H125" s="3617"/>
      <c r="I125" s="3618"/>
      <c r="AA125" s="723"/>
    </row>
    <row r="126" spans="1:27" ht="18.75" customHeight="1">
      <c r="A126" s="3607" t="str">
        <f>IF(项目基本情况!B9="房地产市场价值","",MID(E111,3,LEN(E111)-2))</f>
        <v/>
      </c>
      <c r="B126" s="3607"/>
      <c r="C126" s="3607"/>
      <c r="D126" s="3640" t="str">
        <f>H111</f>
        <v>——</v>
      </c>
      <c r="E126" s="3641"/>
      <c r="F126" s="3641"/>
      <c r="G126" s="3641"/>
      <c r="H126" s="3641"/>
      <c r="I126" s="3642"/>
      <c r="AA126" s="723"/>
    </row>
    <row r="127" spans="1:27" ht="18.75" customHeight="1">
      <c r="A127" s="3576" t="s">
        <v>1450</v>
      </c>
      <c r="B127" s="3576"/>
      <c r="C127" s="3576"/>
      <c r="D127" s="3616" t="e">
        <f>NUMBERSTRING(INT(D126*10000),2)&amp;"元整"</f>
        <v>#VALUE!</v>
      </c>
      <c r="E127" s="3617"/>
      <c r="F127" s="3617"/>
      <c r="G127" s="3617"/>
      <c r="H127" s="3617"/>
      <c r="I127" s="3618"/>
      <c r="AA127" s="723"/>
    </row>
    <row r="128" spans="1:27" ht="21.75" customHeight="1">
      <c r="A128" s="3623" t="s">
        <v>1451</v>
      </c>
      <c r="B128" s="3623"/>
      <c r="C128" s="3623"/>
      <c r="D128" s="3623"/>
      <c r="E128" s="3623"/>
      <c r="F128" s="3623"/>
      <c r="G128" s="3623"/>
      <c r="H128" s="3623"/>
      <c r="I128" s="3623"/>
      <c r="AA128" s="723"/>
    </row>
    <row r="129" spans="1:35" ht="21.75" customHeight="1">
      <c r="A129" s="1828" t="s">
        <v>1452</v>
      </c>
      <c r="B129" s="1829"/>
      <c r="C129" s="1830" t="s">
        <v>1453</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1454</v>
      </c>
      <c r="G135" s="1845"/>
      <c r="H135" s="1845"/>
      <c r="I135" s="1846" t="s">
        <v>1455</v>
      </c>
    </row>
    <row r="136" spans="1:35" ht="21.75" customHeight="1">
      <c r="A136" s="723"/>
      <c r="B136" s="1847" t="s">
        <v>1456</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1457</v>
      </c>
    </row>
    <row r="139" spans="1:35" ht="21.75" customHeight="1">
      <c r="A139" s="723"/>
      <c r="B139" s="1847" t="s">
        <v>1458</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1457</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2" t="str">
        <f>项目基本情况!B1</f>
        <v>北京市北京市海淀区双新村棚户区改造项目2603-003-1地块R2二类居住用地出让国有建设用地使用权房地产抵押价值预评估</v>
      </c>
      <c r="C37" s="3472"/>
      <c r="D37" s="3472"/>
      <c r="E37" s="3472"/>
      <c r="F37" s="3472"/>
      <c r="G37" s="3472"/>
      <c r="H37" s="3472"/>
      <c r="I37" s="3472"/>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 ca="1">项目基本情况!K4</f>
        <v>吴薇（注册号：1419970001)、崔锴（注册号：1120100036)</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7"/>
      <c r="C1" s="198"/>
      <c r="D1" s="198"/>
      <c r="E1" s="198"/>
      <c r="F1" s="198"/>
      <c r="G1" s="1124">
        <f>MATCH(B1,'数据-取费表'!A6:A16,0)+5</f>
        <v>9</v>
      </c>
    </row>
    <row r="2" spans="1:9" s="200" customFormat="1" ht="18" customHeight="1">
      <c r="A2" s="201" t="s">
        <v>1460</v>
      </c>
      <c r="B2" s="202">
        <f ca="1">IF(D2="——",C52,C52-E2)</f>
        <v>2126</v>
      </c>
      <c r="C2" s="199" t="s">
        <v>1461</v>
      </c>
      <c r="D2" s="1850" t="s">
        <v>43</v>
      </c>
      <c r="E2" s="1167" t="e">
        <f ca="1">SUMIF(INDIRECT("'"&amp;G2&amp;"'"&amp;"!A:A"),"承租人权益价值",INDIRECT("'"&amp;G2&amp;"'"&amp;"!c:c"))</f>
        <v>#REF!</v>
      </c>
      <c r="F2" s="1851" t="s">
        <v>1461</v>
      </c>
      <c r="G2" s="1852"/>
    </row>
    <row r="3" spans="1:9" s="200" customFormat="1" ht="18" customHeight="1" thickBot="1">
      <c r="A3" s="203" t="s">
        <v>1462</v>
      </c>
      <c r="B3" s="204">
        <f ca="1">ROUND(B2*10000/(IF(B1="",'数据-汇总表'!E3,INDIRECT("'数据-取费表'!k"&amp;$G$1))),0)</f>
        <v>202</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6" t="s">
        <v>1470</v>
      </c>
      <c r="B6" s="215" t="s">
        <v>1471</v>
      </c>
      <c r="C6" s="216"/>
      <c r="D6" s="217"/>
      <c r="E6" s="218"/>
      <c r="F6" s="218"/>
      <c r="G6" s="219"/>
    </row>
    <row r="7" spans="1:9" s="214" customFormat="1" ht="13.5" customHeight="1">
      <c r="A7" s="776" t="s">
        <v>1472</v>
      </c>
      <c r="B7" s="215" t="s">
        <v>1473</v>
      </c>
      <c r="C7" s="220">
        <f>ROUND(C6*F7,0)</f>
        <v>0</v>
      </c>
      <c r="D7" s="220"/>
      <c r="E7" s="218"/>
      <c r="F7" s="221">
        <f>IF(项目基本情况!B8="出让",0,'数据-取费表'!B48+'数据-取费表'!B49)</f>
        <v>3.0499999999999999E-2</v>
      </c>
      <c r="G7" s="219"/>
    </row>
    <row r="8" spans="1:9" s="223" customFormat="1">
      <c r="A8" s="776" t="s">
        <v>1474</v>
      </c>
      <c r="B8" s="215" t="s">
        <v>1475</v>
      </c>
      <c r="C8" s="220">
        <f>IF(G8="已包含在土地购买价格中","0",IF(B1="",'数据-取费表'!B29,IF(G9="全部缴纳",C9+C10,H9)))</f>
        <v>0</v>
      </c>
      <c r="D8" s="222"/>
      <c r="E8" s="220"/>
      <c r="F8" s="221"/>
      <c r="G8" s="1853"/>
    </row>
    <row r="9" spans="1:9" s="214" customFormat="1" ht="13.5" customHeight="1">
      <c r="A9" s="777" t="s">
        <v>355</v>
      </c>
      <c r="B9" s="224" t="s">
        <v>1476</v>
      </c>
      <c r="C9" s="225">
        <f ca="1">ROUND(D9*E9/10000,0)</f>
        <v>997</v>
      </c>
      <c r="D9" s="843">
        <f ca="1">IF(B1="",'数据-汇总表'!E5,IF(INDIRECT("'数据-取费表'!c"&amp;$G$1)="住宅",INDIRECT("'数据-取费表'!k"&amp;$G$1),0))</f>
        <v>62293.630000000019</v>
      </c>
      <c r="E9" s="225">
        <f>'数据-取费表'!B27</f>
        <v>160</v>
      </c>
      <c r="F9" s="221"/>
      <c r="G9" s="1854"/>
      <c r="H9" s="1135"/>
      <c r="I9" s="1855" t="s">
        <v>1477</v>
      </c>
    </row>
    <row r="10" spans="1:9" s="214" customFormat="1" ht="13.5" customHeight="1">
      <c r="A10" s="777" t="s">
        <v>356</v>
      </c>
      <c r="B10" s="224" t="s">
        <v>1478</v>
      </c>
      <c r="C10" s="225">
        <f ca="1">ROUND(D10*E10/10000,0)</f>
        <v>856</v>
      </c>
      <c r="D10" s="843">
        <f ca="1">IF(B1="",'数据-汇总表'!E6,IF(INDIRECT("'数据-取费表'!c"&amp;$G$1)="住宅",INDIRECT("'数据-取费表'!s"&amp;$G$1),INDIRECT("'数据-取费表'!k"&amp;$G$1)+INDIRECT("'数据-取费表'!s"&amp;$G$1)))</f>
        <v>42813.649999999805</v>
      </c>
      <c r="E10" s="225">
        <f>'数据-取费表'!B28</f>
        <v>200</v>
      </c>
      <c r="F10" s="221"/>
      <c r="G10" s="226"/>
    </row>
    <row r="11" spans="1:9" s="214" customFormat="1" ht="13.5" hidden="1" customHeight="1">
      <c r="A11" s="227" t="s">
        <v>4</v>
      </c>
      <c r="B11" s="215" t="s">
        <v>1479</v>
      </c>
      <c r="C11" s="211"/>
      <c r="D11" s="845"/>
      <c r="E11" s="218"/>
      <c r="F11" s="218"/>
      <c r="G11" s="219"/>
    </row>
    <row r="12" spans="1:9" s="214" customFormat="1" ht="13.5" hidden="1" customHeight="1">
      <c r="A12" s="227" t="s">
        <v>5</v>
      </c>
      <c r="B12" s="215" t="s">
        <v>1480</v>
      </c>
      <c r="C12" s="211">
        <v>0</v>
      </c>
      <c r="D12" s="845"/>
      <c r="E12" s="228"/>
      <c r="F12" s="221">
        <v>3.0499999999999999E-2</v>
      </c>
      <c r="G12" s="219"/>
    </row>
    <row r="13" spans="1:9" s="214" customFormat="1" ht="13.5" hidden="1" customHeight="1">
      <c r="A13" s="227" t="s">
        <v>6</v>
      </c>
      <c r="B13" s="215" t="s">
        <v>1481</v>
      </c>
      <c r="C13" s="211"/>
      <c r="D13" s="845"/>
      <c r="E13" s="218"/>
      <c r="F13" s="218"/>
      <c r="G13" s="219"/>
    </row>
    <row r="14" spans="1:9" s="214" customFormat="1" ht="13.5" hidden="1" customHeight="1">
      <c r="A14" s="227" t="s">
        <v>7</v>
      </c>
      <c r="B14" s="215" t="s">
        <v>1482</v>
      </c>
      <c r="C14" s="211"/>
      <c r="D14" s="845"/>
      <c r="E14" s="218"/>
      <c r="F14" s="218"/>
      <c r="G14" s="219" t="s">
        <v>1483</v>
      </c>
    </row>
    <row r="15" spans="1:9" s="214" customFormat="1" ht="13.5" hidden="1" customHeight="1">
      <c r="A15" s="227" t="s">
        <v>8</v>
      </c>
      <c r="B15" s="215" t="s">
        <v>1484</v>
      </c>
      <c r="C15" s="220"/>
      <c r="D15" s="845"/>
      <c r="E15" s="218"/>
      <c r="F15" s="218"/>
      <c r="G15" s="219" t="s">
        <v>1485</v>
      </c>
    </row>
    <row r="16" spans="1:9" s="214" customFormat="1" ht="13.5" hidden="1" customHeight="1">
      <c r="A16" s="227" t="s">
        <v>9</v>
      </c>
      <c r="B16" s="215" t="s">
        <v>1482</v>
      </c>
      <c r="C16" s="220"/>
      <c r="D16" s="845"/>
      <c r="E16" s="218"/>
      <c r="F16" s="218"/>
      <c r="G16" s="219"/>
    </row>
    <row r="17" spans="1:7" s="214" customFormat="1" ht="13.5" hidden="1" customHeight="1">
      <c r="A17" s="227" t="s">
        <v>10</v>
      </c>
      <c r="B17" s="215" t="s">
        <v>1486</v>
      </c>
      <c r="C17" s="229"/>
      <c r="D17" s="846"/>
      <c r="E17" s="229"/>
      <c r="F17" s="229"/>
      <c r="G17" s="219" t="s">
        <v>1485</v>
      </c>
    </row>
    <row r="18" spans="1:7" s="214" customFormat="1" ht="13.5" hidden="1" customHeight="1">
      <c r="A18" s="227" t="s">
        <v>11</v>
      </c>
      <c r="B18" s="215" t="s">
        <v>1487</v>
      </c>
      <c r="C18" s="220">
        <v>0</v>
      </c>
      <c r="D18" s="845"/>
      <c r="E18" s="218"/>
      <c r="F18" s="221">
        <v>3.0499999999999999E-2</v>
      </c>
      <c r="G18" s="219" t="s">
        <v>1488</v>
      </c>
    </row>
    <row r="19" spans="1:7" s="223" customFormat="1" ht="13.5" customHeight="1">
      <c r="A19" s="255" t="s">
        <v>1489</v>
      </c>
      <c r="B19" s="210" t="s">
        <v>1490</v>
      </c>
      <c r="C19" s="211">
        <f ca="1">IF(G19="已包含在土地取得成本中","0",ROUND(D19*E19/10000,0))</f>
        <v>1892</v>
      </c>
      <c r="D19" s="847">
        <f ca="1">D9+D10</f>
        <v>105107.27999999982</v>
      </c>
      <c r="E19" s="211">
        <f>'数据-取费表'!B31</f>
        <v>180</v>
      </c>
      <c r="F19" s="231"/>
      <c r="G19" s="1853"/>
    </row>
    <row r="20" spans="1:7" s="214" customFormat="1" ht="13.5" customHeight="1">
      <c r="A20" s="255" t="s">
        <v>1491</v>
      </c>
      <c r="B20" s="210" t="s">
        <v>1492</v>
      </c>
      <c r="C20" s="232">
        <f ca="1">ROUND((C5+C19)*F20,0)</f>
        <v>57</v>
      </c>
      <c r="D20" s="232"/>
      <c r="E20" s="232"/>
      <c r="F20" s="233">
        <f>'数据-取费表'!B37</f>
        <v>0.03</v>
      </c>
      <c r="G20" s="234" t="s">
        <v>1493</v>
      </c>
    </row>
    <row r="21" spans="1:7" s="214" customFormat="1" ht="13.5" customHeight="1">
      <c r="A21" s="255" t="s">
        <v>1494</v>
      </c>
      <c r="B21" s="210" t="s">
        <v>1495</v>
      </c>
      <c r="C21" s="235">
        <f>F21</f>
        <v>0.03</v>
      </c>
      <c r="D21" s="236" t="s">
        <v>1496</v>
      </c>
      <c r="E21" s="232"/>
      <c r="F21" s="233">
        <f>'数据-取费表'!B38</f>
        <v>0.03</v>
      </c>
      <c r="G21" s="234" t="s">
        <v>1497</v>
      </c>
    </row>
    <row r="22" spans="1:7" s="214" customFormat="1" ht="13.5" customHeight="1">
      <c r="A22" s="255" t="s">
        <v>1498</v>
      </c>
      <c r="B22" s="210" t="s">
        <v>1499</v>
      </c>
      <c r="C22" s="1102">
        <f ca="1">ROUND(SUM(C23:C25),0)</f>
        <v>0</v>
      </c>
      <c r="D22" s="235">
        <f ca="1">C26</f>
        <v>0</v>
      </c>
      <c r="E22" s="236" t="s">
        <v>1496</v>
      </c>
      <c r="F22" s="237">
        <f ca="1">'数据-取费表'!B40</f>
        <v>3.3500000000000002E-2</v>
      </c>
      <c r="G22" s="234" t="str">
        <f>IF('数据-取费表'!B22&lt;=1,"单利计息","复利计息")</f>
        <v>复利计息</v>
      </c>
    </row>
    <row r="23" spans="1:7" s="214" customFormat="1" ht="13.5" customHeight="1">
      <c r="A23" s="778" t="s">
        <v>1500</v>
      </c>
      <c r="B23" s="215" t="s">
        <v>1501</v>
      </c>
      <c r="C23" s="1103">
        <f ca="1">ROUND(IF('数据-取费表'!B22&lt;=1,C5*F22*'数据-取费表'!B23,C5*(POWER((1+F22),'数据-取费表'!B23)-1)),0)</f>
        <v>0</v>
      </c>
      <c r="D23" s="238"/>
      <c r="E23" s="238"/>
      <c r="F23" s="239"/>
      <c r="G23" s="240" t="s">
        <v>1502</v>
      </c>
    </row>
    <row r="24" spans="1:7" s="214" customFormat="1" ht="13.5" customHeight="1">
      <c r="A24" s="778" t="s">
        <v>1503</v>
      </c>
      <c r="B24" s="215" t="s">
        <v>1504</v>
      </c>
      <c r="C24" s="1103">
        <f ca="1">ROUND(IF('数据-取费表'!B22&lt;=1,C19*F22*('数据-取费表'!B19/2+'数据-取费表'!B21),C19*(POWER((1+F22),('数据-取费表'!B19/2+'数据-取费表'!B21))-1)),0)</f>
        <v>0</v>
      </c>
      <c r="D24" s="238"/>
      <c r="E24" s="238"/>
      <c r="F24" s="239"/>
      <c r="G24" s="240" t="s">
        <v>1505</v>
      </c>
    </row>
    <row r="25" spans="1:7" s="214" customFormat="1" ht="24">
      <c r="A25" s="778" t="s">
        <v>1506</v>
      </c>
      <c r="B25" s="215" t="s">
        <v>1507</v>
      </c>
      <c r="C25" s="1103">
        <f ca="1">ROUND(IF('数据-取费表'!B22&lt;=1,C20*F22*'数据-取费表'!B23/2,C20*(POWER((1+F22),'数据-取费表'!B23/2)-1)),0)</f>
        <v>0</v>
      </c>
      <c r="D25" s="238"/>
      <c r="E25" s="241"/>
      <c r="F25" s="239"/>
      <c r="G25" s="242" t="s">
        <v>1508</v>
      </c>
    </row>
    <row r="26" spans="1:7" s="214" customFormat="1">
      <c r="A26" s="778" t="s">
        <v>350</v>
      </c>
      <c r="B26" s="215" t="s">
        <v>1509</v>
      </c>
      <c r="C26" s="238">
        <f ca="1">ROUND(IF('数据-取费表'!B22&lt;=1,F21*F22*'数据-取费表'!B23/2,F21*(POWER((1+F22),'数据-取费表'!B23/2)-1)),4)</f>
        <v>0</v>
      </c>
      <c r="D26" s="238"/>
      <c r="E26" s="241"/>
      <c r="F26" s="239"/>
      <c r="G26" s="243"/>
    </row>
    <row r="27" spans="1:7" s="214" customFormat="1" ht="24.75">
      <c r="A27" s="255" t="s">
        <v>1510</v>
      </c>
      <c r="B27" s="244" t="s">
        <v>1511</v>
      </c>
      <c r="C27" s="245">
        <f ca="1">C28</f>
        <v>0</v>
      </c>
      <c r="D27" s="235">
        <f ca="1">C29</f>
        <v>0</v>
      </c>
      <c r="E27" s="236" t="s">
        <v>1512</v>
      </c>
      <c r="F27" s="246">
        <f ca="1">IF(B1="",'数据-取费表'!Q16,INDIRECT("'数据-取费表'!q"&amp;$G$1))</f>
        <v>0.14000000000000001</v>
      </c>
      <c r="G27" s="247" t="s">
        <v>1513</v>
      </c>
    </row>
    <row r="28" spans="1:7" s="214" customFormat="1" ht="13.5" customHeight="1">
      <c r="A28" s="778" t="s">
        <v>346</v>
      </c>
      <c r="B28" s="248" t="s">
        <v>1514</v>
      </c>
      <c r="C28" s="249">
        <f ca="1">ROUND((C5+C19+C20)*F27*'数据-取费表'!B21/'数据-取费表'!B20,0)</f>
        <v>0</v>
      </c>
      <c r="D28" s="235"/>
      <c r="E28" s="236"/>
      <c r="F28" s="246"/>
      <c r="G28" s="247"/>
    </row>
    <row r="29" spans="1:7" s="214" customFormat="1" ht="13.5" customHeight="1">
      <c r="A29" s="778" t="s">
        <v>347</v>
      </c>
      <c r="B29" s="248" t="s">
        <v>1515</v>
      </c>
      <c r="C29" s="238">
        <f ca="1">ROUND(C21*F27*'数据-取费表'!B21/'数据-取费表'!B20,4)</f>
        <v>0</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2126</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0</v>
      </c>
      <c r="D33" s="232"/>
      <c r="E33" s="212"/>
      <c r="F33" s="241"/>
      <c r="G33" s="234"/>
    </row>
    <row r="34" spans="1:7" s="258" customFormat="1" ht="13.5" customHeight="1">
      <c r="A34" s="778" t="s">
        <v>346</v>
      </c>
      <c r="B34" s="215" t="s">
        <v>1523</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0</v>
      </c>
      <c r="G34" s="219" t="s">
        <v>1524</v>
      </c>
    </row>
    <row r="35" spans="1:7" ht="13.5" customHeight="1">
      <c r="A35" s="778" t="s">
        <v>351</v>
      </c>
      <c r="B35" s="215" t="s">
        <v>1525</v>
      </c>
      <c r="C35" s="220">
        <f ca="1">ROUND(C34*F35,0)</f>
        <v>0</v>
      </c>
      <c r="D35" s="220"/>
      <c r="E35" s="220"/>
      <c r="F35" s="259">
        <f>'数据-取费表'!B33</f>
        <v>0.05</v>
      </c>
      <c r="G35" s="219" t="s">
        <v>1526</v>
      </c>
    </row>
    <row r="36" spans="1:7" ht="24">
      <c r="A36" s="778"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0.03</v>
      </c>
      <c r="G36" s="260" t="s">
        <v>1528</v>
      </c>
    </row>
    <row r="37" spans="1:7" s="258" customFormat="1" ht="13.5" customHeight="1">
      <c r="A37" s="778" t="s">
        <v>353</v>
      </c>
      <c r="B37" s="215" t="s">
        <v>1529</v>
      </c>
      <c r="C37" s="249">
        <f ca="1">ROUND(E37*D37*F34/10000,0)</f>
        <v>0</v>
      </c>
      <c r="D37" s="217">
        <f ca="1">D19</f>
        <v>105107.27999999982</v>
      </c>
      <c r="E37" s="249">
        <f>'数据-取费表'!B35</f>
        <v>180</v>
      </c>
      <c r="F37" s="259"/>
      <c r="G37" s="261" t="s">
        <v>1530</v>
      </c>
    </row>
    <row r="38" spans="1:7" ht="13.5" customHeight="1">
      <c r="A38" s="778" t="s">
        <v>354</v>
      </c>
      <c r="B38" s="215" t="s">
        <v>1531</v>
      </c>
      <c r="C38" s="220">
        <f ca="1">ROUND(C34*F38,0)</f>
        <v>0</v>
      </c>
      <c r="D38" s="220"/>
      <c r="E38" s="220"/>
      <c r="F38" s="259">
        <f>'数据-取费表'!B36</f>
        <v>0.02</v>
      </c>
      <c r="G38" s="219" t="s">
        <v>1526</v>
      </c>
    </row>
    <row r="39" spans="1:7" s="214" customFormat="1" ht="13.5" customHeight="1">
      <c r="A39" s="255" t="s">
        <v>1532</v>
      </c>
      <c r="B39" s="210" t="s">
        <v>1533</v>
      </c>
      <c r="C39" s="232">
        <f ca="1">ROUND(C33*F20,0)</f>
        <v>0</v>
      </c>
      <c r="D39" s="232"/>
      <c r="E39" s="232"/>
      <c r="F39" s="233">
        <f>F20</f>
        <v>0.03</v>
      </c>
      <c r="G39" s="234" t="s">
        <v>1534</v>
      </c>
    </row>
    <row r="40" spans="1:7" s="214" customFormat="1" ht="13.5" customHeight="1">
      <c r="A40" s="255" t="s">
        <v>1535</v>
      </c>
      <c r="B40" s="210" t="s">
        <v>1536</v>
      </c>
      <c r="C40" s="1324">
        <f>F21</f>
        <v>0.03</v>
      </c>
      <c r="D40" s="236" t="s">
        <v>1537</v>
      </c>
      <c r="E40" s="232"/>
      <c r="F40" s="233">
        <f>F21</f>
        <v>0.03</v>
      </c>
      <c r="G40" s="234" t="s">
        <v>1538</v>
      </c>
    </row>
    <row r="41" spans="1:7" s="214" customFormat="1" ht="13.5" customHeight="1">
      <c r="A41" s="255" t="s">
        <v>1539</v>
      </c>
      <c r="B41" s="210" t="s">
        <v>1540</v>
      </c>
      <c r="C41" s="232">
        <f ca="1">ROUND(SUM(C42:C43),0)</f>
        <v>0</v>
      </c>
      <c r="D41" s="235">
        <f ca="1">C44</f>
        <v>0</v>
      </c>
      <c r="E41" s="236" t="s">
        <v>1537</v>
      </c>
      <c r="F41" s="237">
        <f ca="1">F22</f>
        <v>3.3500000000000002E-2</v>
      </c>
      <c r="G41" s="234" t="str">
        <f>IF('数据-取费表'!B22&lt;=1,"单利计息","复利计息")</f>
        <v>复利计息</v>
      </c>
    </row>
    <row r="42" spans="1:7" ht="13.5" customHeight="1">
      <c r="A42" s="778" t="s">
        <v>346</v>
      </c>
      <c r="B42" s="215" t="s">
        <v>1541</v>
      </c>
      <c r="C42" s="238">
        <f ca="1">ROUND(IF('数据-取费表'!B22&lt;=1,C33*F22*'数据-取费表'!B21/2,C33*(POWER((1+F22),'数据-取费表'!B21/2)-1)),0)</f>
        <v>0</v>
      </c>
      <c r="D42" s="238"/>
      <c r="E42" s="238"/>
      <c r="F42" s="239"/>
      <c r="G42" s="3656" t="s">
        <v>1542</v>
      </c>
    </row>
    <row r="43" spans="1:7" ht="13.5" customHeight="1">
      <c r="A43" s="778" t="s">
        <v>347</v>
      </c>
      <c r="B43" s="215" t="s">
        <v>1543</v>
      </c>
      <c r="C43" s="238">
        <f ca="1">ROUND(IF('数据-取费表'!B22&lt;=1,C39*F22*'数据-取费表'!B21/2,C39*(POWER((1+F22),'数据-取费表'!B21/2)-1)),0)</f>
        <v>0</v>
      </c>
      <c r="D43" s="238"/>
      <c r="E43" s="238"/>
      <c r="F43" s="239"/>
      <c r="G43" s="3657"/>
    </row>
    <row r="44" spans="1:7" ht="13.5" customHeight="1">
      <c r="A44" s="778" t="s">
        <v>348</v>
      </c>
      <c r="B44" s="215" t="s">
        <v>1544</v>
      </c>
      <c r="C44" s="238">
        <f ca="1">ROUND(IF('数据-取费表'!B22&lt;=1,C40*F22*'数据-取费表'!B21/2,C40*(POWER((1+F22),'数据-取费表'!B21/2)-1)),4)</f>
        <v>0</v>
      </c>
      <c r="D44" s="238"/>
      <c r="E44" s="238"/>
      <c r="F44" s="239"/>
      <c r="G44" s="3658"/>
    </row>
    <row r="45" spans="1:7" s="214" customFormat="1" ht="13.5" customHeight="1">
      <c r="A45" s="255" t="s">
        <v>1545</v>
      </c>
      <c r="B45" s="244" t="s">
        <v>1511</v>
      </c>
      <c r="C45" s="245">
        <f ca="1">C46</f>
        <v>0</v>
      </c>
      <c r="D45" s="235">
        <f ca="1">C47</f>
        <v>4.1999999999999997E-3</v>
      </c>
      <c r="E45" s="236" t="s">
        <v>1537</v>
      </c>
      <c r="F45" s="246">
        <f ca="1">F27</f>
        <v>0.14000000000000001</v>
      </c>
      <c r="G45" s="247" t="s">
        <v>1546</v>
      </c>
    </row>
    <row r="46" spans="1:7" s="214" customFormat="1" ht="13.5" customHeight="1">
      <c r="A46" s="778" t="s">
        <v>346</v>
      </c>
      <c r="B46" s="248" t="s">
        <v>1547</v>
      </c>
      <c r="C46" s="249">
        <f ca="1">ROUND((C33+C39)*F27,0)</f>
        <v>0</v>
      </c>
      <c r="D46" s="263"/>
      <c r="E46" s="236"/>
      <c r="F46" s="246"/>
      <c r="G46" s="247"/>
    </row>
    <row r="47" spans="1:7" s="214" customFormat="1" ht="13.5" customHeight="1">
      <c r="A47" s="778" t="s">
        <v>347</v>
      </c>
      <c r="B47" s="248" t="s">
        <v>1548</v>
      </c>
      <c r="C47" s="238">
        <f ca="1">ROUND(C40*F27,4)</f>
        <v>4.1999999999999997E-3</v>
      </c>
      <c r="D47" s="263"/>
      <c r="E47" s="236"/>
      <c r="F47" s="246"/>
      <c r="G47" s="247"/>
    </row>
    <row r="48" spans="1:7" s="214" customFormat="1" ht="13.5" customHeight="1">
      <c r="A48" s="255" t="s">
        <v>1510</v>
      </c>
      <c r="B48" s="210" t="s">
        <v>1549</v>
      </c>
      <c r="C48" s="1324">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0</v>
      </c>
      <c r="D49" s="232"/>
      <c r="E49" s="232"/>
      <c r="F49" s="264"/>
      <c r="G49" s="234" t="s">
        <v>1552</v>
      </c>
    </row>
    <row r="50" spans="1:7" s="258" customFormat="1" ht="24">
      <c r="A50" s="255" t="s">
        <v>1553</v>
      </c>
      <c r="B50" s="210" t="s">
        <v>1554</v>
      </c>
      <c r="C50" s="232"/>
      <c r="D50" s="232"/>
      <c r="E50" s="232"/>
      <c r="F50" s="264">
        <f>IF('数据-取费表'!B24=0,'数据-取费表'!N16,1)</f>
        <v>1</v>
      </c>
      <c r="G50" s="247" t="s">
        <v>1555</v>
      </c>
    </row>
    <row r="51" spans="1:7" ht="16.5" customHeight="1">
      <c r="A51" s="255" t="s">
        <v>1556</v>
      </c>
      <c r="B51" s="210" t="s">
        <v>1557</v>
      </c>
      <c r="C51" s="232">
        <f ca="1">ROUND(C49*F50,0)</f>
        <v>0</v>
      </c>
      <c r="D51" s="232"/>
      <c r="E51" s="232"/>
      <c r="F51" s="264"/>
      <c r="G51" s="234" t="s">
        <v>1558</v>
      </c>
    </row>
    <row r="52" spans="1:7" s="208" customFormat="1" ht="16.5" thickBot="1">
      <c r="A52" s="265" t="s">
        <v>1559</v>
      </c>
      <c r="B52" s="266"/>
      <c r="C52" s="267">
        <f ca="1">C31+C51</f>
        <v>2126</v>
      </c>
      <c r="D52" s="266"/>
      <c r="E52" s="266"/>
      <c r="F52" s="266"/>
      <c r="G52" s="268"/>
    </row>
    <row r="55" spans="1:7" ht="15">
      <c r="B55" s="270" t="s">
        <v>1560</v>
      </c>
      <c r="C55" s="271"/>
    </row>
    <row r="56" spans="1:7">
      <c r="B56" s="273" t="s">
        <v>802</v>
      </c>
      <c r="C56" s="275">
        <f ca="1">1-C57</f>
        <v>1</v>
      </c>
    </row>
    <row r="57" spans="1:7">
      <c r="B57" s="273" t="s">
        <v>803</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7"/>
      <c r="C1" s="1856" t="s">
        <v>1561</v>
      </c>
      <c r="D1" s="198"/>
      <c r="E1" s="198"/>
      <c r="F1" s="198"/>
      <c r="G1" s="1124">
        <f>MATCH(B1,'数据-取费表'!A6:A16,0)+5</f>
        <v>9</v>
      </c>
      <c r="H1" s="1059" t="str">
        <f>IF(ISERROR(FIND("住宅",B1)),"非住宅","住宅")</f>
        <v>非住宅</v>
      </c>
    </row>
    <row r="2" spans="1:8" s="200" customFormat="1" ht="18" customHeight="1">
      <c r="A2" s="201" t="s">
        <v>1460</v>
      </c>
      <c r="B2" s="3415">
        <f ca="1">ROUND(IF(D2="——",C52/10000,C52/10000-E2),4)</f>
        <v>104717.9296</v>
      </c>
      <c r="C2" s="199" t="s">
        <v>1461</v>
      </c>
      <c r="D2" s="1850" t="s">
        <v>43</v>
      </c>
      <c r="E2" s="1167" t="e">
        <f ca="1">SUMIF(INDIRECT("'"&amp;G2&amp;"'"&amp;"!A:A"),"承租人权益价值",INDIRECT("'"&amp;G2&amp;"'"&amp;"!c:c"))</f>
        <v>#REF!</v>
      </c>
      <c r="F2" s="1851" t="s">
        <v>1461</v>
      </c>
      <c r="G2" s="1852"/>
    </row>
    <row r="3" spans="1:8" s="200" customFormat="1" ht="18" customHeight="1" thickBot="1">
      <c r="A3" s="203" t="s">
        <v>1462</v>
      </c>
      <c r="B3" s="204">
        <f ca="1">ROUND(B2*10000/(IF(B1="",'数据-汇总表'!E3,INDIRECT("'数据-取费表'!k"&amp;$G$1))),0)</f>
        <v>9963</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18529711</v>
      </c>
      <c r="D5" s="211" t="s">
        <v>1467</v>
      </c>
      <c r="E5" s="212" t="s">
        <v>1468</v>
      </c>
      <c r="F5" s="212" t="s">
        <v>1469</v>
      </c>
      <c r="G5" s="213"/>
    </row>
    <row r="6" spans="1:8" s="214" customFormat="1" ht="13.5" customHeight="1">
      <c r="A6" s="776" t="s">
        <v>1470</v>
      </c>
      <c r="B6" s="215" t="s">
        <v>1471</v>
      </c>
      <c r="C6" s="216"/>
      <c r="D6" s="217"/>
      <c r="E6" s="218"/>
      <c r="F6" s="218"/>
      <c r="G6" s="219"/>
    </row>
    <row r="7" spans="1:8" s="214" customFormat="1" ht="13.5" customHeight="1">
      <c r="A7" s="776" t="s">
        <v>1472</v>
      </c>
      <c r="B7" s="215" t="s">
        <v>1473</v>
      </c>
      <c r="C7" s="220">
        <f>ROUND(C6*F7,0)</f>
        <v>0</v>
      </c>
      <c r="D7" s="220"/>
      <c r="E7" s="218"/>
      <c r="F7" s="221">
        <f>IF(项目基本情况!B8="出让",0,'数据-取费表'!B48+'数据-取费表'!B49)</f>
        <v>3.0499999999999999E-2</v>
      </c>
      <c r="G7" s="219"/>
    </row>
    <row r="8" spans="1:8" s="223" customFormat="1">
      <c r="A8" s="776" t="s">
        <v>1474</v>
      </c>
      <c r="B8" s="215" t="s">
        <v>1475</v>
      </c>
      <c r="C8" s="220">
        <f ca="1">IF(G8="已包含在土地购买价格中",0,C9+C10)</f>
        <v>18529711</v>
      </c>
      <c r="D8" s="222"/>
      <c r="E8" s="220"/>
      <c r="F8" s="221"/>
      <c r="G8" s="1853"/>
    </row>
    <row r="9" spans="1:8" s="214" customFormat="1" ht="13.5" customHeight="1">
      <c r="A9" s="777" t="s">
        <v>355</v>
      </c>
      <c r="B9" s="224" t="s">
        <v>1476</v>
      </c>
      <c r="C9" s="225">
        <f ca="1">ROUND(D9*E9,0)</f>
        <v>9966981</v>
      </c>
      <c r="D9" s="843">
        <f ca="1">IF(B1="",'数据-汇总表'!E5,IF(INDIRECT("'数据-取费表'!c"&amp;$G$1)="住宅",INDIRECT("'数据-取费表'!k"&amp;$G$1),0))</f>
        <v>62293.630000000019</v>
      </c>
      <c r="E9" s="225">
        <f>'数据-取费表'!B27</f>
        <v>160</v>
      </c>
      <c r="F9" s="221"/>
      <c r="G9" s="226"/>
    </row>
    <row r="10" spans="1:8" s="214" customFormat="1" ht="13.5" customHeight="1">
      <c r="A10" s="777" t="s">
        <v>356</v>
      </c>
      <c r="B10" s="224" t="s">
        <v>1478</v>
      </c>
      <c r="C10" s="225">
        <f ca="1">ROUND(D10*E10,0)</f>
        <v>8562730</v>
      </c>
      <c r="D10" s="843">
        <f ca="1">IF(B1="",'数据-汇总表'!E6,IF(INDIRECT("'数据-取费表'!c"&amp;$G$1)="住宅",INDIRECT("'数据-取费表'!s"&amp;$G$1),INDIRECT("'数据-取费表'!k"&amp;$G$1)+INDIRECT("'数据-取费表'!s"&amp;$G$1)))</f>
        <v>42813.649999999805</v>
      </c>
      <c r="E10" s="225">
        <f>'数据-取费表'!B28</f>
        <v>200</v>
      </c>
      <c r="F10" s="221"/>
      <c r="G10" s="226"/>
    </row>
    <row r="11" spans="1:8" s="214" customFormat="1" ht="13.5" hidden="1" customHeight="1">
      <c r="A11" s="227" t="s">
        <v>4</v>
      </c>
      <c r="B11" s="215" t="s">
        <v>1479</v>
      </c>
      <c r="C11" s="211"/>
      <c r="D11" s="845"/>
      <c r="E11" s="218"/>
      <c r="F11" s="218"/>
      <c r="G11" s="219"/>
    </row>
    <row r="12" spans="1:8" s="214" customFormat="1" ht="13.5" hidden="1" customHeight="1">
      <c r="A12" s="227" t="s">
        <v>5</v>
      </c>
      <c r="B12" s="215" t="s">
        <v>1562</v>
      </c>
      <c r="C12" s="211">
        <v>0</v>
      </c>
      <c r="D12" s="845"/>
      <c r="E12" s="228"/>
      <c r="F12" s="221">
        <v>3.0499999999999999E-2</v>
      </c>
      <c r="G12" s="219"/>
    </row>
    <row r="13" spans="1:8" s="214" customFormat="1" ht="13.5" hidden="1" customHeight="1">
      <c r="A13" s="227" t="s">
        <v>6</v>
      </c>
      <c r="B13" s="215" t="s">
        <v>1563</v>
      </c>
      <c r="C13" s="211"/>
      <c r="D13" s="845"/>
      <c r="E13" s="218"/>
      <c r="F13" s="218"/>
      <c r="G13" s="219"/>
    </row>
    <row r="14" spans="1:8" s="214" customFormat="1" ht="13.5" hidden="1" customHeight="1">
      <c r="A14" s="227" t="s">
        <v>7</v>
      </c>
      <c r="B14" s="215" t="s">
        <v>1475</v>
      </c>
      <c r="C14" s="211"/>
      <c r="D14" s="845"/>
      <c r="E14" s="218"/>
      <c r="F14" s="218"/>
      <c r="G14" s="219" t="s">
        <v>1564</v>
      </c>
    </row>
    <row r="15" spans="1:8" s="214" customFormat="1" ht="13.5" hidden="1" customHeight="1">
      <c r="A15" s="227" t="s">
        <v>8</v>
      </c>
      <c r="B15" s="215" t="s">
        <v>1565</v>
      </c>
      <c r="C15" s="220"/>
      <c r="D15" s="845"/>
      <c r="E15" s="218"/>
      <c r="F15" s="218"/>
      <c r="G15" s="219" t="s">
        <v>1566</v>
      </c>
    </row>
    <row r="16" spans="1:8" s="214" customFormat="1" ht="13.5" hidden="1" customHeight="1">
      <c r="A16" s="227" t="s">
        <v>9</v>
      </c>
      <c r="B16" s="215" t="s">
        <v>1475</v>
      </c>
      <c r="C16" s="220"/>
      <c r="D16" s="845"/>
      <c r="E16" s="218"/>
      <c r="F16" s="218"/>
      <c r="G16" s="219"/>
    </row>
    <row r="17" spans="1:7" s="214" customFormat="1" ht="13.5" hidden="1" customHeight="1">
      <c r="A17" s="227" t="s">
        <v>10</v>
      </c>
      <c r="B17" s="215" t="s">
        <v>1567</v>
      </c>
      <c r="C17" s="229"/>
      <c r="D17" s="846"/>
      <c r="E17" s="229"/>
      <c r="F17" s="229"/>
      <c r="G17" s="219" t="s">
        <v>1566</v>
      </c>
    </row>
    <row r="18" spans="1:7" s="214" customFormat="1" ht="13.5" hidden="1" customHeight="1">
      <c r="A18" s="227" t="s">
        <v>11</v>
      </c>
      <c r="B18" s="215" t="s">
        <v>1568</v>
      </c>
      <c r="C18" s="220">
        <v>0</v>
      </c>
      <c r="D18" s="845"/>
      <c r="E18" s="218"/>
      <c r="F18" s="221">
        <v>3.0499999999999999E-2</v>
      </c>
      <c r="G18" s="219" t="s">
        <v>1569</v>
      </c>
    </row>
    <row r="19" spans="1:7" s="223" customFormat="1" ht="13.5" customHeight="1">
      <c r="A19" s="255" t="s">
        <v>1570</v>
      </c>
      <c r="B19" s="210" t="s">
        <v>1571</v>
      </c>
      <c r="C19" s="211">
        <f ca="1">IF(G19="已包含在土地取得成本中","0",ROUND(D19*E19,0))</f>
        <v>18919310</v>
      </c>
      <c r="D19" s="847">
        <f ca="1">D9+D10</f>
        <v>105107.27999999982</v>
      </c>
      <c r="E19" s="211">
        <f>'数据-取费表'!B31</f>
        <v>180</v>
      </c>
      <c r="F19" s="231"/>
      <c r="G19" s="1853"/>
    </row>
    <row r="20" spans="1:7" s="214" customFormat="1" ht="13.5" customHeight="1">
      <c r="A20" s="255" t="s">
        <v>1572</v>
      </c>
      <c r="B20" s="210" t="s">
        <v>1573</v>
      </c>
      <c r="C20" s="232">
        <f ca="1">ROUND((C5+C19)*F20,0)</f>
        <v>1123471</v>
      </c>
      <c r="D20" s="232"/>
      <c r="E20" s="232"/>
      <c r="F20" s="233">
        <f>'数据-取费表'!B37</f>
        <v>0.03</v>
      </c>
      <c r="G20" s="234" t="s">
        <v>1574</v>
      </c>
    </row>
    <row r="21" spans="1:7" s="214" customFormat="1" ht="13.5" customHeight="1">
      <c r="A21" s="255" t="s">
        <v>1575</v>
      </c>
      <c r="B21" s="210" t="s">
        <v>1576</v>
      </c>
      <c r="C21" s="235">
        <f>F21</f>
        <v>0.03</v>
      </c>
      <c r="D21" s="236" t="s">
        <v>1577</v>
      </c>
      <c r="E21" s="232"/>
      <c r="F21" s="233">
        <f>'数据-取费表'!B38</f>
        <v>0.03</v>
      </c>
      <c r="G21" s="234" t="s">
        <v>1578</v>
      </c>
    </row>
    <row r="22" spans="1:7" s="214" customFormat="1" ht="13.5" customHeight="1">
      <c r="A22" s="255" t="s">
        <v>1579</v>
      </c>
      <c r="B22" s="210" t="s">
        <v>1580</v>
      </c>
      <c r="C22" s="1125">
        <f ca="1">ROUND(SUM(C23:C25),0)</f>
        <v>3948041</v>
      </c>
      <c r="D22" s="235">
        <f ca="1">C26</f>
        <v>1.5E-3</v>
      </c>
      <c r="E22" s="236" t="s">
        <v>1577</v>
      </c>
      <c r="F22" s="237">
        <f ca="1">'数据-取费表'!B40</f>
        <v>3.3500000000000002E-2</v>
      </c>
      <c r="G22" s="234" t="str">
        <f>IF('数据-取费表'!B22&lt;=1,"单利计息","复利计息")</f>
        <v>复利计息</v>
      </c>
    </row>
    <row r="23" spans="1:7" s="214" customFormat="1" ht="13.5" customHeight="1">
      <c r="A23" s="778" t="s">
        <v>1470</v>
      </c>
      <c r="B23" s="215" t="s">
        <v>1581</v>
      </c>
      <c r="C23" s="1126">
        <f ca="1">ROUND(IF('数据-取费表'!B22&lt;=1,C5*F22*'数据-取费表'!B22,C5*(POWER((1+F22),'数据-取费表'!B22)-1)),0)</f>
        <v>1925317</v>
      </c>
      <c r="D23" s="238"/>
      <c r="E23" s="238"/>
      <c r="F23" s="239"/>
      <c r="G23" s="240" t="s">
        <v>1582</v>
      </c>
    </row>
    <row r="24" spans="1:7" s="214" customFormat="1" ht="13.5" customHeight="1">
      <c r="A24" s="778" t="s">
        <v>1472</v>
      </c>
      <c r="B24" s="215" t="s">
        <v>1583</v>
      </c>
      <c r="C24" s="1126">
        <f ca="1">ROUND(IF('数据-取费表'!B22&lt;=1,C19*F22*('数据-取费表'!B19/2+'数据-取费表'!B20),C19*(POWER((1+F22),('数据-取费表'!B19/2+'数据-取费表'!B20))-1)),0)</f>
        <v>1965799</v>
      </c>
      <c r="D24" s="238"/>
      <c r="E24" s="238"/>
      <c r="F24" s="239"/>
      <c r="G24" s="240" t="s">
        <v>1584</v>
      </c>
    </row>
    <row r="25" spans="1:7" s="214" customFormat="1" ht="24">
      <c r="A25" s="778" t="s">
        <v>1474</v>
      </c>
      <c r="B25" s="215" t="s">
        <v>1585</v>
      </c>
      <c r="C25" s="1126">
        <f ca="1">ROUND(IF('数据-取费表'!B22&lt;=1,C20*F22*'数据-取费表'!B22/2,C20*(POWER((1+F22),'数据-取费表'!B22/2)-1)),0)</f>
        <v>56925</v>
      </c>
      <c r="D25" s="238"/>
      <c r="E25" s="241"/>
      <c r="F25" s="239"/>
      <c r="G25" s="242" t="s">
        <v>1586</v>
      </c>
    </row>
    <row r="26" spans="1:7" s="214" customFormat="1">
      <c r="A26" s="778" t="s">
        <v>350</v>
      </c>
      <c r="B26" s="215" t="s">
        <v>1509</v>
      </c>
      <c r="C26" s="238">
        <f ca="1">ROUND(IF('数据-取费表'!B22&lt;=1,F21*F22*'数据-取费表'!B22/2,F21*(POWER((1+F22),'数据-取费表'!B22/2)-1)),4)</f>
        <v>1.5E-3</v>
      </c>
      <c r="D26" s="238"/>
      <c r="E26" s="241"/>
      <c r="F26" s="239"/>
      <c r="G26" s="243"/>
    </row>
    <row r="27" spans="1:7" s="214" customFormat="1" ht="24.75">
      <c r="A27" s="255" t="s">
        <v>1510</v>
      </c>
      <c r="B27" s="244" t="s">
        <v>1511</v>
      </c>
      <c r="C27" s="245">
        <f ca="1">C28</f>
        <v>5400149</v>
      </c>
      <c r="D27" s="235">
        <f ca="1">C29</f>
        <v>4.1999999999999997E-3</v>
      </c>
      <c r="E27" s="236" t="s">
        <v>1512</v>
      </c>
      <c r="F27" s="246">
        <f ca="1">IF(B1="",'数据-取费表'!Q16,INDIRECT("'数据-取费表'!q"&amp;$G$1))</f>
        <v>0.14000000000000001</v>
      </c>
      <c r="G27" s="247" t="s">
        <v>1513</v>
      </c>
    </row>
    <row r="28" spans="1:7" s="214" customFormat="1" ht="13.5" customHeight="1">
      <c r="A28" s="778" t="s">
        <v>346</v>
      </c>
      <c r="B28" s="248" t="s">
        <v>1514</v>
      </c>
      <c r="C28" s="249">
        <f ca="1">ROUND((C5+C19+C20)*F27,0)</f>
        <v>5400149</v>
      </c>
      <c r="D28" s="235"/>
      <c r="E28" s="236"/>
      <c r="F28" s="246"/>
      <c r="G28" s="247"/>
    </row>
    <row r="29" spans="1:7" s="214" customFormat="1" ht="13.5" customHeight="1">
      <c r="A29" s="778" t="s">
        <v>347</v>
      </c>
      <c r="B29" s="248" t="s">
        <v>1515</v>
      </c>
      <c r="C29" s="238">
        <f ca="1">ROUND(C21*F27,4)</f>
        <v>4.1999999999999997E-3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52602285</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738803078</v>
      </c>
      <c r="D33" s="232"/>
      <c r="E33" s="212"/>
      <c r="F33" s="241"/>
      <c r="G33" s="234"/>
    </row>
    <row r="34" spans="1:7" s="258" customFormat="1" ht="13.5" customHeight="1">
      <c r="A34" s="778" t="s">
        <v>346</v>
      </c>
      <c r="B34" s="215" t="s">
        <v>1523</v>
      </c>
      <c r="C34" s="220">
        <f ca="1">ROUND(IF(B1="",SUMPRODUCT('数据-取费表'!K6:K14,'数据-取费表'!L6:L14),INDIRECT("'数据-取费表'!l"&amp;$G$1)*INDIRECT("'数据-取费表'!k"&amp;$G$1)+'数据-取费表'!L14*INDIRECT("'数据-取费表'!S"&amp;$G$1)),0)</f>
        <v>661435990</v>
      </c>
      <c r="D34" s="217"/>
      <c r="E34" s="220"/>
      <c r="F34" s="257"/>
      <c r="G34" s="219"/>
    </row>
    <row r="35" spans="1:7" ht="13.5" customHeight="1">
      <c r="A35" s="778" t="s">
        <v>351</v>
      </c>
      <c r="B35" s="215" t="s">
        <v>1525</v>
      </c>
      <c r="C35" s="220">
        <f ca="1">ROUND(C34*F35,0)</f>
        <v>33071800</v>
      </c>
      <c r="D35" s="220"/>
      <c r="E35" s="220"/>
      <c r="F35" s="259">
        <f>'数据-取费表'!B33</f>
        <v>0.05</v>
      </c>
      <c r="G35" s="219" t="s">
        <v>1526</v>
      </c>
    </row>
    <row r="36" spans="1:7" ht="24">
      <c r="A36" s="778" t="s">
        <v>352</v>
      </c>
      <c r="B36" s="215" t="s">
        <v>1527</v>
      </c>
      <c r="C36" s="220">
        <f ca="1">ROUND(IF(B1="",SUM('数据-取费表'!AP6:AP13)*F36,IF(INDIRECT("'数据-取费表'!c"&amp;$G$1)="住宅",INDIRECT("'数据-取费表'!k"&amp;$G$1)*INDIRECT("'数据-取费表'!l"&amp;$G$1)*F36,0)),0)</f>
        <v>12147258</v>
      </c>
      <c r="D36" s="220"/>
      <c r="E36" s="220"/>
      <c r="F36" s="259">
        <f>'数据-取费表'!B34</f>
        <v>0.03</v>
      </c>
      <c r="G36" s="260" t="s">
        <v>1528</v>
      </c>
    </row>
    <row r="37" spans="1:7" s="258" customFormat="1" ht="13.5" customHeight="1">
      <c r="A37" s="778" t="s">
        <v>353</v>
      </c>
      <c r="B37" s="215" t="s">
        <v>1529</v>
      </c>
      <c r="C37" s="249">
        <f ca="1">ROUND(E37*D37,0)</f>
        <v>18919310</v>
      </c>
      <c r="D37" s="217">
        <f ca="1">D19</f>
        <v>105107.27999999982</v>
      </c>
      <c r="E37" s="249">
        <f>'数据-取费表'!B35</f>
        <v>180</v>
      </c>
      <c r="F37" s="259"/>
      <c r="G37" s="261"/>
    </row>
    <row r="38" spans="1:7" ht="13.5" customHeight="1">
      <c r="A38" s="778" t="s">
        <v>354</v>
      </c>
      <c r="B38" s="215" t="s">
        <v>1531</v>
      </c>
      <c r="C38" s="220">
        <f ca="1">ROUND(C34*F38,0)</f>
        <v>13228720</v>
      </c>
      <c r="D38" s="220"/>
      <c r="E38" s="220"/>
      <c r="F38" s="259">
        <f>'数据-取费表'!B36</f>
        <v>0.02</v>
      </c>
      <c r="G38" s="219" t="s">
        <v>1526</v>
      </c>
    </row>
    <row r="39" spans="1:7" s="214" customFormat="1" ht="13.5" customHeight="1">
      <c r="A39" s="255" t="s">
        <v>1532</v>
      </c>
      <c r="B39" s="210" t="s">
        <v>1533</v>
      </c>
      <c r="C39" s="232">
        <f ca="1">ROUND(C33*F20,0)</f>
        <v>22164092</v>
      </c>
      <c r="D39" s="232"/>
      <c r="E39" s="232"/>
      <c r="F39" s="233">
        <f>F20</f>
        <v>0.03</v>
      </c>
      <c r="G39" s="234" t="s">
        <v>1534</v>
      </c>
    </row>
    <row r="40" spans="1:7" s="214" customFormat="1" ht="13.5" customHeight="1">
      <c r="A40" s="255" t="s">
        <v>1535</v>
      </c>
      <c r="B40" s="210" t="s">
        <v>1536</v>
      </c>
      <c r="C40" s="1324">
        <f>F21</f>
        <v>0.03</v>
      </c>
      <c r="D40" s="236" t="s">
        <v>1537</v>
      </c>
      <c r="E40" s="232"/>
      <c r="F40" s="233">
        <f>F21</f>
        <v>0.03</v>
      </c>
      <c r="G40" s="234" t="s">
        <v>1538</v>
      </c>
    </row>
    <row r="41" spans="1:7" s="214" customFormat="1" ht="13.5" customHeight="1">
      <c r="A41" s="255" t="s">
        <v>1539</v>
      </c>
      <c r="B41" s="210" t="s">
        <v>1540</v>
      </c>
      <c r="C41" s="232">
        <f ca="1">ROUND(SUM(C42:C43),0)</f>
        <v>38557083</v>
      </c>
      <c r="D41" s="235">
        <f ca="1">C44</f>
        <v>1.5E-3</v>
      </c>
      <c r="E41" s="236" t="s">
        <v>1537</v>
      </c>
      <c r="F41" s="237">
        <f ca="1">F22</f>
        <v>3.3500000000000002E-2</v>
      </c>
      <c r="G41" s="234" t="str">
        <f>IF('数据-取费表'!B22&lt;=1,"单利计息","复利计息")</f>
        <v>复利计息</v>
      </c>
    </row>
    <row r="42" spans="1:7" ht="13.5" customHeight="1">
      <c r="A42" s="778" t="s">
        <v>346</v>
      </c>
      <c r="B42" s="215" t="s">
        <v>1541</v>
      </c>
      <c r="C42" s="238">
        <f ca="1">ROUND(IF('数据-取费表'!B22&lt;=1,C33*F22*'数据-取费表'!B20/2,C33*(POWER((1+F22),'数据-取费表'!B20/2)-1)),0)</f>
        <v>37434061</v>
      </c>
      <c r="D42" s="238"/>
      <c r="E42" s="238"/>
      <c r="F42" s="239"/>
      <c r="G42" s="3656" t="s">
        <v>1589</v>
      </c>
    </row>
    <row r="43" spans="1:7" ht="13.5" customHeight="1">
      <c r="A43" s="778" t="s">
        <v>347</v>
      </c>
      <c r="B43" s="215" t="s">
        <v>1543</v>
      </c>
      <c r="C43" s="238">
        <f ca="1">ROUND(IF('数据-取费表'!B22&lt;=1,C39*F22*'数据-取费表'!B20/2,C39*(POWER((1+F22),'数据-取费表'!B20/2)-1)),0)</f>
        <v>1123022</v>
      </c>
      <c r="D43" s="238"/>
      <c r="E43" s="238"/>
      <c r="F43" s="239"/>
      <c r="G43" s="3657"/>
    </row>
    <row r="44" spans="1:7" ht="13.5" customHeight="1">
      <c r="A44" s="778" t="s">
        <v>348</v>
      </c>
      <c r="B44" s="215" t="s">
        <v>1544</v>
      </c>
      <c r="C44" s="238">
        <f ca="1">ROUND(IF('数据-取费表'!B22&lt;=1,C40*F22*'数据-取费表'!B20/2,C40*(POWER((1+F22),'数据-取费表'!B20/2)-1)),4)</f>
        <v>1.5E-3</v>
      </c>
      <c r="D44" s="238"/>
      <c r="E44" s="238"/>
      <c r="F44" s="239"/>
      <c r="G44" s="3658"/>
    </row>
    <row r="45" spans="1:7" s="214" customFormat="1" ht="13.5" customHeight="1">
      <c r="A45" s="255" t="s">
        <v>1545</v>
      </c>
      <c r="B45" s="244" t="s">
        <v>1511</v>
      </c>
      <c r="C45" s="245">
        <f ca="1">C46</f>
        <v>106535404</v>
      </c>
      <c r="D45" s="235">
        <f ca="1">C47</f>
        <v>4.1999999999999997E-3</v>
      </c>
      <c r="E45" s="236" t="s">
        <v>1537</v>
      </c>
      <c r="F45" s="246">
        <f ca="1">F27</f>
        <v>0.14000000000000001</v>
      </c>
      <c r="G45" s="247" t="s">
        <v>1546</v>
      </c>
    </row>
    <row r="46" spans="1:7" s="214" customFormat="1" ht="13.5" customHeight="1">
      <c r="A46" s="778" t="s">
        <v>346</v>
      </c>
      <c r="B46" s="248" t="s">
        <v>1547</v>
      </c>
      <c r="C46" s="249">
        <f ca="1">ROUND((C33+C39)*F27,0)</f>
        <v>106535404</v>
      </c>
      <c r="D46" s="263"/>
      <c r="E46" s="236"/>
      <c r="F46" s="246"/>
      <c r="G46" s="247"/>
    </row>
    <row r="47" spans="1:7" s="214" customFormat="1" ht="13.5" customHeight="1">
      <c r="A47" s="778" t="s">
        <v>347</v>
      </c>
      <c r="B47" s="248" t="s">
        <v>1548</v>
      </c>
      <c r="C47" s="238">
        <f ca="1">ROUND(C40*F27,4)</f>
        <v>4.1999999999999997E-3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994577011</v>
      </c>
      <c r="D49" s="232"/>
      <c r="E49" s="232"/>
      <c r="F49" s="264"/>
      <c r="G49" s="234" t="s">
        <v>1552</v>
      </c>
    </row>
    <row r="50" spans="1:7" s="258" customFormat="1">
      <c r="A50" s="255" t="s">
        <v>1553</v>
      </c>
      <c r="B50" s="210" t="s">
        <v>1554</v>
      </c>
      <c r="C50" s="232"/>
      <c r="D50" s="232"/>
      <c r="E50" s="232"/>
      <c r="F50" s="264">
        <f>IF('数据-取费表'!B24=0,'数据-取费表'!N16,1)</f>
        <v>1</v>
      </c>
      <c r="G50" s="247"/>
    </row>
    <row r="51" spans="1:7" ht="16.5" customHeight="1">
      <c r="A51" s="255" t="s">
        <v>1556</v>
      </c>
      <c r="B51" s="210" t="s">
        <v>1591</v>
      </c>
      <c r="C51" s="232">
        <f ca="1">ROUND(C49*F50,0)</f>
        <v>994577011</v>
      </c>
      <c r="D51" s="232"/>
      <c r="E51" s="232"/>
      <c r="F51" s="264"/>
      <c r="G51" s="234" t="s">
        <v>1558</v>
      </c>
    </row>
    <row r="52" spans="1:7" s="208" customFormat="1" ht="16.5" thickBot="1">
      <c r="A52" s="265" t="s">
        <v>1559</v>
      </c>
      <c r="B52" s="266"/>
      <c r="C52" s="267">
        <f ca="1">C31+C51</f>
        <v>1047179296</v>
      </c>
      <c r="D52" s="266"/>
      <c r="E52" s="266"/>
      <c r="F52" s="266"/>
      <c r="G52" s="268"/>
    </row>
    <row r="55" spans="1:7" ht="15">
      <c r="B55" s="270" t="s">
        <v>1560</v>
      </c>
      <c r="C55" s="271"/>
    </row>
    <row r="56" spans="1:7">
      <c r="B56" s="273" t="s">
        <v>802</v>
      </c>
      <c r="C56" s="275">
        <f ca="1">1-C57</f>
        <v>5.0000000000000044E-2</v>
      </c>
    </row>
    <row r="57" spans="1:7">
      <c r="B57" s="273" t="s">
        <v>803</v>
      </c>
      <c r="C57" s="274">
        <f ca="1">ROUND(C51/C52,3)</f>
        <v>0.95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C000"/>
    <pageSetUpPr fitToPage="1"/>
  </sheetPr>
  <dimension ref="A1:AD131"/>
  <sheetViews>
    <sheetView view="pageBreakPreview" zoomScale="80" zoomScaleNormal="60" zoomScaleSheetLayoutView="80" workbookViewId="0">
      <selection activeCell="N50" sqref="N50"/>
    </sheetView>
  </sheetViews>
  <sheetFormatPr defaultColWidth="9" defaultRowHeight="14.25"/>
  <cols>
    <col min="1" max="1" width="14.375" style="357" customWidth="1"/>
    <col min="2" max="2" width="15.75" style="357" customWidth="1"/>
    <col min="3" max="3" width="16.12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1460</v>
      </c>
      <c r="B2" s="617">
        <f>F65</f>
        <v>529126</v>
      </c>
      <c r="C2" s="905"/>
      <c r="D2" s="905"/>
      <c r="E2" s="906"/>
      <c r="F2" s="907"/>
      <c r="G2" s="906"/>
      <c r="H2" s="906"/>
      <c r="I2" s="906"/>
      <c r="J2" s="906"/>
      <c r="K2" s="908"/>
      <c r="L2" s="2725"/>
      <c r="M2" s="2726"/>
      <c r="N2" s="2726"/>
      <c r="O2" s="2726"/>
      <c r="P2" s="697"/>
      <c r="Q2" s="697"/>
      <c r="R2" s="697"/>
      <c r="S2" s="697"/>
      <c r="T2" s="697"/>
      <c r="U2" s="697"/>
      <c r="V2" s="697"/>
      <c r="W2" s="697"/>
      <c r="X2" s="697"/>
      <c r="Y2" s="697"/>
      <c r="Z2" s="697"/>
      <c r="AA2" s="697"/>
      <c r="AB2" s="697"/>
      <c r="AC2" s="698"/>
      <c r="AD2" s="351"/>
    </row>
    <row r="3" spans="1:30" s="352" customFormat="1" ht="28.5" customHeight="1" thickBot="1">
      <c r="A3" s="203" t="s">
        <v>1462</v>
      </c>
      <c r="B3" s="556">
        <f>ROUND(IF(D3="",B2*10000/'数据-汇总表'!E3,B2*10000/D3),0)</f>
        <v>50342</v>
      </c>
      <c r="C3" s="203" t="s">
        <v>1867</v>
      </c>
      <c r="D3" s="1190"/>
      <c r="E3" s="906"/>
      <c r="F3" s="907"/>
      <c r="G3" s="906"/>
      <c r="H3" s="906"/>
      <c r="I3" s="906"/>
      <c r="J3" s="906"/>
      <c r="K3" s="908"/>
      <c r="L3" s="2725"/>
      <c r="M3" s="2726"/>
      <c r="N3" s="2726"/>
      <c r="O3" s="2726"/>
      <c r="P3" s="697"/>
      <c r="Q3" s="697"/>
      <c r="R3" s="697"/>
      <c r="S3" s="697"/>
      <c r="T3" s="697"/>
      <c r="U3" s="697"/>
      <c r="V3" s="697"/>
      <c r="W3" s="697"/>
      <c r="X3" s="697"/>
      <c r="Y3" s="697"/>
      <c r="Z3" s="697"/>
      <c r="AA3" s="697"/>
      <c r="AB3" s="714"/>
      <c r="AC3" s="711"/>
    </row>
    <row r="4" spans="1:30" ht="15">
      <c r="A4" s="355" t="s">
        <v>1767</v>
      </c>
      <c r="B4" s="356"/>
      <c r="C4" s="3663" t="s">
        <v>1768</v>
      </c>
      <c r="D4" s="3675"/>
      <c r="E4" s="3676" t="s">
        <v>1769</v>
      </c>
      <c r="F4" s="3677"/>
      <c r="G4" s="3663" t="s">
        <v>1770</v>
      </c>
      <c r="H4" s="3675"/>
      <c r="I4" s="3663" t="s">
        <v>1771</v>
      </c>
      <c r="J4" s="3675"/>
      <c r="K4" s="557" t="s">
        <v>1772</v>
      </c>
      <c r="L4" s="2706"/>
      <c r="M4" s="2707"/>
      <c r="N4" s="2707"/>
      <c r="O4" s="2707"/>
      <c r="P4" s="3678" t="s">
        <v>1773</v>
      </c>
      <c r="Q4" s="3679"/>
      <c r="R4" s="3684" t="s">
        <v>1769</v>
      </c>
      <c r="S4" s="3685"/>
      <c r="T4" s="3684" t="s">
        <v>1770</v>
      </c>
      <c r="U4" s="3685"/>
      <c r="V4" s="3671" t="s">
        <v>1771</v>
      </c>
      <c r="W4" s="3671"/>
      <c r="X4" s="1352"/>
      <c r="Y4" s="3684" t="s">
        <v>1773</v>
      </c>
      <c r="Z4" s="3685"/>
      <c r="AA4" s="3672" t="s">
        <v>1769</v>
      </c>
      <c r="AB4" s="3673" t="s">
        <v>1770</v>
      </c>
      <c r="AC4" s="3672" t="s">
        <v>1771</v>
      </c>
    </row>
    <row r="5" spans="1:30" ht="15">
      <c r="A5" s="358"/>
      <c r="B5" s="359"/>
      <c r="C5" s="3692" t="s">
        <v>1671</v>
      </c>
      <c r="D5" s="3693"/>
      <c r="E5" s="3699" t="s">
        <v>3517</v>
      </c>
      <c r="F5" s="3700"/>
      <c r="G5" s="3692" t="s">
        <v>3518</v>
      </c>
      <c r="H5" s="3693"/>
      <c r="I5" s="3692" t="s">
        <v>3519</v>
      </c>
      <c r="J5" s="3693"/>
      <c r="K5" s="557"/>
      <c r="L5" s="2706"/>
      <c r="M5" s="2707"/>
      <c r="N5" s="2707"/>
      <c r="O5" s="2707"/>
      <c r="P5" s="3680"/>
      <c r="Q5" s="3681"/>
      <c r="R5" s="3686"/>
      <c r="S5" s="3687"/>
      <c r="T5" s="3686"/>
      <c r="U5" s="3687"/>
      <c r="V5" s="3671"/>
      <c r="W5" s="3671"/>
      <c r="X5" s="1352"/>
      <c r="Y5" s="3686"/>
      <c r="Z5" s="3687"/>
      <c r="AA5" s="3673"/>
      <c r="AB5" s="3673"/>
      <c r="AC5" s="3673"/>
    </row>
    <row r="6" spans="1:30" ht="15.75" thickBot="1">
      <c r="A6" s="360"/>
      <c r="B6" s="361"/>
      <c r="C6" s="3690" t="s">
        <v>1675</v>
      </c>
      <c r="D6" s="3691"/>
      <c r="E6" s="3697" t="s">
        <v>1675</v>
      </c>
      <c r="F6" s="3698"/>
      <c r="G6" s="3690" t="s">
        <v>1675</v>
      </c>
      <c r="H6" s="3691"/>
      <c r="I6" s="3690" t="s">
        <v>1675</v>
      </c>
      <c r="J6" s="3691"/>
      <c r="K6" s="557" t="s">
        <v>1676</v>
      </c>
      <c r="L6" s="2706"/>
      <c r="M6" s="2707"/>
      <c r="N6" s="2707"/>
      <c r="O6" s="2707"/>
      <c r="P6" s="3682"/>
      <c r="Q6" s="3683"/>
      <c r="R6" s="3686"/>
      <c r="S6" s="3687"/>
      <c r="T6" s="3688"/>
      <c r="U6" s="3689"/>
      <c r="V6" s="3671"/>
      <c r="W6" s="3671"/>
      <c r="X6" s="1352"/>
      <c r="Y6" s="3688"/>
      <c r="Z6" s="3689"/>
      <c r="AA6" s="3674"/>
      <c r="AB6" s="3674"/>
      <c r="AC6" s="3674"/>
    </row>
    <row r="7" spans="1:30" s="108" customFormat="1" ht="15.75" thickBot="1">
      <c r="A7" s="362" t="s">
        <v>1677</v>
      </c>
      <c r="B7" s="363"/>
      <c r="C7" s="364">
        <f>'数据-取费表'!B2</f>
        <v>45576</v>
      </c>
      <c r="D7" s="365">
        <v>100</v>
      </c>
      <c r="E7" s="366">
        <v>45091.000497685185</v>
      </c>
      <c r="F7" s="367">
        <f>SUMIF(69:69,YEAR(E7)&amp;"-"&amp;INT((MONTH(E7)+2)/3),70:70)</f>
        <v>97.599999999999966</v>
      </c>
      <c r="G7" s="1968">
        <v>43850.000497685185</v>
      </c>
      <c r="H7" s="365">
        <f>SUMIF(69:69,YEAR(G7)&amp;"-"&amp;INT((MONTH(G7)+2)/3),70:70)</f>
        <v>92.399999999999892</v>
      </c>
      <c r="I7" s="1968">
        <v>43850.000497685185</v>
      </c>
      <c r="J7" s="365">
        <f>SUMIF(69:69,YEAR(I7)&amp;"-"&amp;INT((MONTH(I7)+2)/3),70:70)</f>
        <v>92.399999999999892</v>
      </c>
      <c r="K7" s="558"/>
      <c r="L7" s="2708"/>
      <c r="M7" s="2709"/>
      <c r="N7" s="2709"/>
      <c r="O7" s="2709"/>
      <c r="P7" s="3694" t="s">
        <v>1678</v>
      </c>
      <c r="Q7" s="3696"/>
      <c r="R7" s="699" t="s">
        <v>14</v>
      </c>
      <c r="S7" s="700">
        <f t="shared" ref="S7:S15" si="0">F7</f>
        <v>97.599999999999966</v>
      </c>
      <c r="T7" s="699" t="s">
        <v>14</v>
      </c>
      <c r="U7" s="700">
        <f t="shared" ref="U7:U15" si="1">H7</f>
        <v>92.399999999999892</v>
      </c>
      <c r="V7" s="699" t="s">
        <v>14</v>
      </c>
      <c r="W7" s="700">
        <f t="shared" ref="W7:W15" si="2">J7</f>
        <v>92.399999999999892</v>
      </c>
      <c r="X7" s="701"/>
      <c r="Y7" s="3694" t="s">
        <v>1678</v>
      </c>
      <c r="Z7" s="3695"/>
      <c r="AA7" s="702">
        <f>D7/F7</f>
        <v>1.0245901639344266</v>
      </c>
      <c r="AB7" s="702">
        <f>D7/H7</f>
        <v>1.0822510822510836</v>
      </c>
      <c r="AC7" s="702">
        <f>D7/J7</f>
        <v>1.0822510822510836</v>
      </c>
    </row>
    <row r="8" spans="1:30" s="108" customFormat="1" ht="15.75" thickBot="1">
      <c r="A8" s="362" t="s">
        <v>1679</v>
      </c>
      <c r="B8" s="363"/>
      <c r="C8" s="368" t="s">
        <v>1680</v>
      </c>
      <c r="D8" s="365">
        <v>100</v>
      </c>
      <c r="E8" s="368" t="s">
        <v>3510</v>
      </c>
      <c r="F8" s="367">
        <f>SUMIF(72:72,E8,73:73)-SUMIF(72:72,C8,73:73)+100</f>
        <v>100</v>
      </c>
      <c r="G8" s="368" t="s">
        <v>3510</v>
      </c>
      <c r="H8" s="365">
        <f>SUMIF(72:72,G8,73:73)-SUMIF(72:72,C8,73:73)+100</f>
        <v>100</v>
      </c>
      <c r="I8" s="368" t="s">
        <v>3510</v>
      </c>
      <c r="J8" s="365">
        <f>SUMIF(72:72,I8,73:73)-SUMIF(72:72,C8,73:73)+100</f>
        <v>100</v>
      </c>
      <c r="K8" s="558"/>
      <c r="L8" s="2708"/>
      <c r="M8" s="2709"/>
      <c r="N8" s="2709"/>
      <c r="O8" s="2709"/>
      <c r="P8" s="3694" t="s">
        <v>1681</v>
      </c>
      <c r="Q8" s="3695"/>
      <c r="R8" s="699" t="s">
        <v>14</v>
      </c>
      <c r="S8" s="700">
        <f t="shared" si="0"/>
        <v>100</v>
      </c>
      <c r="T8" s="699" t="s">
        <v>14</v>
      </c>
      <c r="U8" s="700">
        <f t="shared" si="1"/>
        <v>100</v>
      </c>
      <c r="V8" s="699" t="s">
        <v>14</v>
      </c>
      <c r="W8" s="700">
        <f t="shared" si="2"/>
        <v>100</v>
      </c>
      <c r="X8" s="701"/>
      <c r="Y8" s="3694" t="s">
        <v>1681</v>
      </c>
      <c r="Z8" s="3695"/>
      <c r="AA8" s="702">
        <f t="shared" ref="AA8:AA45" si="3">D8/F8</f>
        <v>1</v>
      </c>
      <c r="AB8" s="702">
        <f t="shared" ref="AB8:AB45" si="4">D8/H8</f>
        <v>1</v>
      </c>
      <c r="AC8" s="702">
        <f t="shared" ref="AC8:AC45" si="5">D8/J8</f>
        <v>1</v>
      </c>
    </row>
    <row r="9" spans="1:30" s="108" customFormat="1">
      <c r="A9" s="369" t="s">
        <v>1682</v>
      </c>
      <c r="B9" s="63" t="s">
        <v>1683</v>
      </c>
      <c r="C9" s="1971" t="s">
        <v>3403</v>
      </c>
      <c r="D9" s="126">
        <v>100</v>
      </c>
      <c r="E9" s="1971" t="s">
        <v>3403</v>
      </c>
      <c r="F9" s="126">
        <f>SUMIF(74:74,E9,75:75)-SUMIF(74:74,C9,75:75)+100</f>
        <v>100</v>
      </c>
      <c r="G9" s="1971" t="s">
        <v>3403</v>
      </c>
      <c r="H9" s="126">
        <f>SUMIF(74:74,G9,75:75)-SUMIF(74:74,C9,75:75)+100</f>
        <v>100</v>
      </c>
      <c r="I9" s="1971" t="s">
        <v>3403</v>
      </c>
      <c r="J9" s="126">
        <f>SUMIF(74:74,I9,75:75)-SUMIF(74:74,C9,75:75)+100</f>
        <v>100</v>
      </c>
      <c r="K9" s="558"/>
      <c r="L9" s="2708"/>
      <c r="M9" s="2709"/>
      <c r="N9" s="2709"/>
      <c r="O9" s="2763"/>
      <c r="P9" s="3666" t="s">
        <v>1684</v>
      </c>
      <c r="Q9" s="1340" t="str">
        <f t="shared" ref="Q9:Q15" si="6">B9</f>
        <v>用途</v>
      </c>
      <c r="R9" s="699" t="s">
        <v>14</v>
      </c>
      <c r="S9" s="700">
        <f t="shared" si="0"/>
        <v>100</v>
      </c>
      <c r="T9" s="699" t="s">
        <v>14</v>
      </c>
      <c r="U9" s="700">
        <f t="shared" si="1"/>
        <v>100</v>
      </c>
      <c r="V9" s="699" t="s">
        <v>14</v>
      </c>
      <c r="W9" s="700">
        <f t="shared" si="2"/>
        <v>100</v>
      </c>
      <c r="X9" s="701"/>
      <c r="Y9" s="3563" t="s">
        <v>1685</v>
      </c>
      <c r="Z9" s="52" t="str">
        <f t="shared" ref="Z9:Z15" si="7">Q9</f>
        <v>用途</v>
      </c>
      <c r="AA9" s="702">
        <f t="shared" si="3"/>
        <v>1</v>
      </c>
      <c r="AB9" s="702">
        <f t="shared" si="4"/>
        <v>1</v>
      </c>
      <c r="AC9" s="702">
        <f t="shared" si="5"/>
        <v>1</v>
      </c>
    </row>
    <row r="10" spans="1:30" s="378" customFormat="1" ht="27">
      <c r="A10" s="374"/>
      <c r="B10" s="375" t="s">
        <v>1686</v>
      </c>
      <c r="C10" s="383">
        <f>'数据-取费表'!F6</f>
        <v>68.709999999999994</v>
      </c>
      <c r="D10" s="127">
        <v>100</v>
      </c>
      <c r="E10" s="416" t="s">
        <v>3511</v>
      </c>
      <c r="F10" s="127">
        <f>ROUND(100/'数据-取费表'!G16,0)</f>
        <v>101</v>
      </c>
      <c r="G10" s="414" t="s">
        <v>3511</v>
      </c>
      <c r="H10" s="127">
        <f>ROUND(100/'数据-取费表'!G16,0)</f>
        <v>101</v>
      </c>
      <c r="I10" s="414" t="s">
        <v>3511</v>
      </c>
      <c r="J10" s="127">
        <f>ROUND(100/'数据-取费表'!G16,0)</f>
        <v>101</v>
      </c>
      <c r="K10" s="618"/>
      <c r="L10" s="2710"/>
      <c r="M10" s="2711"/>
      <c r="N10" s="2711"/>
      <c r="O10" s="2764"/>
      <c r="P10" s="3666"/>
      <c r="Q10" s="1340" t="str">
        <f t="shared" si="6"/>
        <v>土地使用年限（年）</v>
      </c>
      <c r="R10" s="699" t="s">
        <v>14</v>
      </c>
      <c r="S10" s="700">
        <f t="shared" si="0"/>
        <v>101</v>
      </c>
      <c r="T10" s="699" t="s">
        <v>14</v>
      </c>
      <c r="U10" s="700">
        <f t="shared" si="1"/>
        <v>101</v>
      </c>
      <c r="V10" s="699" t="s">
        <v>14</v>
      </c>
      <c r="W10" s="700">
        <f t="shared" si="2"/>
        <v>101</v>
      </c>
      <c r="X10" s="701"/>
      <c r="Y10" s="3563"/>
      <c r="Z10" s="52" t="str">
        <f t="shared" si="7"/>
        <v>土地使用年限（年）</v>
      </c>
      <c r="AA10" s="702">
        <f t="shared" si="3"/>
        <v>0.99009900990099009</v>
      </c>
      <c r="AB10" s="702">
        <f t="shared" si="4"/>
        <v>0.99009900990099009</v>
      </c>
      <c r="AC10" s="702">
        <f t="shared" si="5"/>
        <v>0.99009900990099009</v>
      </c>
    </row>
    <row r="11" spans="1:30" ht="15.75" thickBot="1">
      <c r="A11" s="379"/>
      <c r="B11" s="375" t="s">
        <v>1687</v>
      </c>
      <c r="C11" s="380">
        <v>1.05</v>
      </c>
      <c r="D11" s="127">
        <v>100</v>
      </c>
      <c r="E11" s="380">
        <v>1.05</v>
      </c>
      <c r="F11" s="127">
        <f>LOOKUP(E11,79:79,80:80)-LOOKUP(C11,79:79,80:80)+100</f>
        <v>100</v>
      </c>
      <c r="G11" s="381">
        <v>1.5</v>
      </c>
      <c r="H11" s="127">
        <f>LOOKUP(G11,79:79,80:80)-LOOKUP(C11,79:79,80:80)+100</f>
        <v>98</v>
      </c>
      <c r="I11" s="380">
        <v>1.5</v>
      </c>
      <c r="J11" s="127">
        <f>LOOKUP(I11,79:79,80:80)-LOOKUP(C11,79:79,80:80)+100</f>
        <v>98</v>
      </c>
      <c r="K11" s="619">
        <v>1</v>
      </c>
      <c r="L11" s="2712"/>
      <c r="M11" s="2707"/>
      <c r="N11" s="2707"/>
      <c r="O11" s="2765"/>
      <c r="P11" s="3666"/>
      <c r="Q11" s="1340" t="str">
        <f t="shared" si="6"/>
        <v>容积率</v>
      </c>
      <c r="R11" s="699" t="s">
        <v>14</v>
      </c>
      <c r="S11" s="700">
        <f t="shared" si="0"/>
        <v>100</v>
      </c>
      <c r="T11" s="699" t="s">
        <v>14</v>
      </c>
      <c r="U11" s="700">
        <f t="shared" si="1"/>
        <v>98</v>
      </c>
      <c r="V11" s="699" t="s">
        <v>14</v>
      </c>
      <c r="W11" s="700">
        <f t="shared" si="2"/>
        <v>98</v>
      </c>
      <c r="X11" s="701"/>
      <c r="Y11" s="3563"/>
      <c r="Z11" s="52" t="str">
        <f t="shared" si="7"/>
        <v>容积率</v>
      </c>
      <c r="AA11" s="702">
        <f t="shared" si="3"/>
        <v>1</v>
      </c>
      <c r="AB11" s="702">
        <f t="shared" si="4"/>
        <v>1.0204081632653061</v>
      </c>
      <c r="AC11" s="702">
        <f t="shared" si="5"/>
        <v>1.0204081632653061</v>
      </c>
    </row>
    <row r="12" spans="1:30" s="108" customFormat="1" ht="15.75" hidden="1" thickBot="1">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18"/>
      <c r="L12" s="2708"/>
      <c r="M12" s="2709"/>
      <c r="N12" s="2709"/>
      <c r="O12" s="2763"/>
      <c r="P12" s="3666"/>
      <c r="Q12" s="1340" t="str">
        <f t="shared" si="6"/>
        <v>配建</v>
      </c>
      <c r="R12" s="699" t="s">
        <v>14</v>
      </c>
      <c r="S12" s="700">
        <f t="shared" si="0"/>
        <v>100</v>
      </c>
      <c r="T12" s="699" t="s">
        <v>14</v>
      </c>
      <c r="U12" s="700">
        <f t="shared" si="1"/>
        <v>100</v>
      </c>
      <c r="V12" s="699" t="s">
        <v>14</v>
      </c>
      <c r="W12" s="700">
        <f t="shared" si="2"/>
        <v>100</v>
      </c>
      <c r="X12" s="701"/>
      <c r="Y12" s="3563"/>
      <c r="Z12" s="52" t="str">
        <f t="shared" si="7"/>
        <v>配建</v>
      </c>
      <c r="AA12" s="702">
        <f>D12/F12</f>
        <v>1</v>
      </c>
      <c r="AB12" s="702">
        <f>D12/H12</f>
        <v>1</v>
      </c>
      <c r="AC12" s="702">
        <f>D12/J12</f>
        <v>1</v>
      </c>
    </row>
    <row r="13" spans="1:30" ht="15" hidden="1">
      <c r="A13" s="379"/>
      <c r="B13" s="1889">
        <v>111</v>
      </c>
      <c r="C13" s="385"/>
      <c r="D13" s="386">
        <v>100</v>
      </c>
      <c r="E13" s="496"/>
      <c r="F13" s="127">
        <f>SUMIF(83:83,E13,84:84)-SUMIF(83:83,C13,84:84)+100</f>
        <v>100</v>
      </c>
      <c r="G13" s="620"/>
      <c r="H13" s="386">
        <f>SUMIF(83:83,G13,84:84)-SUMIF(83:83,C13,84:84)+100</f>
        <v>100</v>
      </c>
      <c r="I13" s="620"/>
      <c r="J13" s="386">
        <f>SUMIF(83:83,I13,84:84)-SUMIF(83:83,C13,84:84)+100</f>
        <v>100</v>
      </c>
      <c r="K13" s="618"/>
      <c r="L13" s="2713"/>
      <c r="M13" s="2707"/>
      <c r="N13" s="2707"/>
      <c r="O13" s="2765"/>
      <c r="P13" s="3666"/>
      <c r="Q13" s="1340">
        <f t="shared" si="6"/>
        <v>111</v>
      </c>
      <c r="R13" s="699" t="s">
        <v>14</v>
      </c>
      <c r="S13" s="700">
        <f t="shared" si="0"/>
        <v>100</v>
      </c>
      <c r="T13" s="699" t="s">
        <v>14</v>
      </c>
      <c r="U13" s="700">
        <f t="shared" si="1"/>
        <v>100</v>
      </c>
      <c r="V13" s="699" t="s">
        <v>14</v>
      </c>
      <c r="W13" s="700">
        <f t="shared" si="2"/>
        <v>100</v>
      </c>
      <c r="X13" s="701"/>
      <c r="Y13" s="3563"/>
      <c r="Z13" s="52">
        <f t="shared" si="7"/>
        <v>111</v>
      </c>
      <c r="AA13" s="702">
        <f>D13/F13</f>
        <v>1</v>
      </c>
      <c r="AB13" s="702">
        <f>D13/H13</f>
        <v>1</v>
      </c>
      <c r="AC13" s="702">
        <f>D13/J13</f>
        <v>1</v>
      </c>
    </row>
    <row r="14" spans="1:30" ht="15.75" hidden="1" thickBot="1">
      <c r="A14" s="387"/>
      <c r="B14" s="1891">
        <v>111</v>
      </c>
      <c r="C14" s="388"/>
      <c r="D14" s="389">
        <v>100</v>
      </c>
      <c r="E14" s="496"/>
      <c r="F14" s="389">
        <f>SUMIF(85:85,E14,86:86)-SUMIF(85:85,C14,86:86)+100</f>
        <v>100</v>
      </c>
      <c r="G14" s="620"/>
      <c r="H14" s="389">
        <f>SUMIF(85:85,G14,86:86)-SUMIF(85:85,C14,86:86)+100</f>
        <v>100</v>
      </c>
      <c r="I14" s="620"/>
      <c r="J14" s="389">
        <f>SUMIF(85:85,I14,86:86)-SUMIF(85:85,C14,86:86)+100</f>
        <v>100</v>
      </c>
      <c r="K14" s="618"/>
      <c r="L14" s="2713"/>
      <c r="M14" s="2707"/>
      <c r="N14" s="2707"/>
      <c r="O14" s="2765"/>
      <c r="P14" s="3666"/>
      <c r="Q14" s="1340">
        <f t="shared" si="6"/>
        <v>111</v>
      </c>
      <c r="R14" s="699" t="s">
        <v>14</v>
      </c>
      <c r="S14" s="700">
        <f t="shared" si="0"/>
        <v>100</v>
      </c>
      <c r="T14" s="699" t="s">
        <v>14</v>
      </c>
      <c r="U14" s="700">
        <f t="shared" si="1"/>
        <v>100</v>
      </c>
      <c r="V14" s="699" t="s">
        <v>14</v>
      </c>
      <c r="W14" s="700">
        <f t="shared" si="2"/>
        <v>100</v>
      </c>
      <c r="X14" s="701"/>
      <c r="Y14" s="3563"/>
      <c r="Z14" s="52">
        <f t="shared" si="7"/>
        <v>111</v>
      </c>
      <c r="AA14" s="702">
        <f>D14/F14</f>
        <v>1</v>
      </c>
      <c r="AB14" s="702">
        <f>D14/H14</f>
        <v>1</v>
      </c>
      <c r="AC14" s="702">
        <f>D14/J14</f>
        <v>1</v>
      </c>
    </row>
    <row r="15" spans="1:30" ht="15">
      <c r="A15" s="391" t="s">
        <v>1688</v>
      </c>
      <c r="B15" s="61" t="s">
        <v>1255</v>
      </c>
      <c r="C15" s="1892" t="str">
        <f>估价对象房地状况!C15</f>
        <v>较好</v>
      </c>
      <c r="D15" s="392">
        <v>100</v>
      </c>
      <c r="E15" s="393" t="s">
        <v>3501</v>
      </c>
      <c r="F15" s="392">
        <f>SUMIF(87:87,E16,88:88)-SUMIF(87:87,C16,88:88)+100</f>
        <v>100</v>
      </c>
      <c r="G15" s="393" t="s">
        <v>3501</v>
      </c>
      <c r="H15" s="392">
        <f>SUMIF(87:87,G16,88:88)-SUMIF(87:87,C16,88:88)+100</f>
        <v>100</v>
      </c>
      <c r="I15" s="395" t="s">
        <v>3501</v>
      </c>
      <c r="J15" s="392">
        <f>SUMIF(87:87,I16,88:88)-SUMIF(87:87,C16,88:88)+100</f>
        <v>100</v>
      </c>
      <c r="K15" s="619">
        <v>2</v>
      </c>
      <c r="L15" s="2713"/>
      <c r="M15" s="2707"/>
      <c r="N15" s="2707"/>
      <c r="O15" s="2765"/>
      <c r="P15" s="3667" t="s">
        <v>1689</v>
      </c>
      <c r="Q15" s="1349" t="str">
        <f t="shared" si="6"/>
        <v>居住社区成熟度</v>
      </c>
      <c r="R15" s="703" t="s">
        <v>14</v>
      </c>
      <c r="S15" s="704">
        <f t="shared" si="0"/>
        <v>100</v>
      </c>
      <c r="T15" s="703" t="s">
        <v>14</v>
      </c>
      <c r="U15" s="704">
        <f t="shared" si="1"/>
        <v>100</v>
      </c>
      <c r="V15" s="703" t="s">
        <v>14</v>
      </c>
      <c r="W15" s="704">
        <f t="shared" si="2"/>
        <v>100</v>
      </c>
      <c r="X15" s="1352"/>
      <c r="Y15" s="3667" t="s">
        <v>1689</v>
      </c>
      <c r="Z15" s="1353" t="str">
        <f t="shared" si="7"/>
        <v>居住社区成熟度</v>
      </c>
      <c r="AA15" s="1350">
        <f t="shared" si="3"/>
        <v>1</v>
      </c>
      <c r="AB15" s="1350">
        <f t="shared" si="4"/>
        <v>1</v>
      </c>
      <c r="AC15" s="1350">
        <f t="shared" si="5"/>
        <v>1</v>
      </c>
    </row>
    <row r="16" spans="1:30" ht="15">
      <c r="A16" s="379"/>
      <c r="B16" s="397"/>
      <c r="C16" s="398" t="s">
        <v>3501</v>
      </c>
      <c r="D16" s="399"/>
      <c r="E16" s="1894" t="s">
        <v>3501</v>
      </c>
      <c r="F16" s="399"/>
      <c r="G16" s="1894" t="s">
        <v>3501</v>
      </c>
      <c r="H16" s="401"/>
      <c r="I16" s="1893" t="s">
        <v>3501</v>
      </c>
      <c r="J16" s="399"/>
      <c r="K16" s="618"/>
      <c r="L16" s="2713"/>
      <c r="M16" s="2707"/>
      <c r="N16" s="2707"/>
      <c r="O16" s="2765"/>
      <c r="P16" s="3668"/>
      <c r="Q16" s="1349"/>
      <c r="R16" s="703"/>
      <c r="S16" s="704"/>
      <c r="T16" s="703"/>
      <c r="U16" s="704"/>
      <c r="V16" s="703"/>
      <c r="W16" s="704"/>
      <c r="X16" s="1352"/>
      <c r="Y16" s="3668"/>
      <c r="Z16" s="1353"/>
      <c r="AA16" s="1350">
        <v>1</v>
      </c>
      <c r="AB16" s="1350">
        <v>1</v>
      </c>
      <c r="AC16" s="1350">
        <v>1</v>
      </c>
    </row>
    <row r="17" spans="1:29" ht="15" hidden="1">
      <c r="A17" s="379"/>
      <c r="B17" s="402" t="s">
        <v>1775</v>
      </c>
      <c r="C17" s="1949" t="str">
        <f>估价对象房地状况!C16</f>
        <v>一般</v>
      </c>
      <c r="D17" s="401">
        <v>100</v>
      </c>
      <c r="E17" s="403" t="s">
        <v>3503</v>
      </c>
      <c r="F17" s="401">
        <f>SUMIF(89:89,E18,90:90)-SUMIF(89:89,C18,90:90)+100</f>
        <v>100</v>
      </c>
      <c r="G17" s="403" t="s">
        <v>3503</v>
      </c>
      <c r="H17" s="406">
        <f>SUMIF(89:89,G18,90:90)-SUMIF(89:89,C18,90:90)+100</f>
        <v>100</v>
      </c>
      <c r="I17" s="405" t="s">
        <v>3503</v>
      </c>
      <c r="J17" s="406">
        <f>SUMIF(89:89,I18,90:90)-SUMIF(89:89,C18,90:90)+100</f>
        <v>100</v>
      </c>
      <c r="K17" s="619"/>
      <c r="L17" s="2713"/>
      <c r="M17" s="2707"/>
      <c r="N17" s="2707"/>
      <c r="O17" s="2765"/>
      <c r="P17" s="3668"/>
      <c r="Q17" s="1349" t="str">
        <f>B17</f>
        <v>商业繁华度</v>
      </c>
      <c r="R17" s="703" t="s">
        <v>14</v>
      </c>
      <c r="S17" s="704">
        <f>F17</f>
        <v>100</v>
      </c>
      <c r="T17" s="703" t="s">
        <v>14</v>
      </c>
      <c r="U17" s="704">
        <f>H17</f>
        <v>100</v>
      </c>
      <c r="V17" s="703" t="s">
        <v>14</v>
      </c>
      <c r="W17" s="704">
        <f>J17</f>
        <v>100</v>
      </c>
      <c r="X17" s="1352"/>
      <c r="Y17" s="3668"/>
      <c r="Z17" s="1353" t="str">
        <f>Q17</f>
        <v>商业繁华度</v>
      </c>
      <c r="AA17" s="1350">
        <f t="shared" si="3"/>
        <v>1</v>
      </c>
      <c r="AB17" s="1350">
        <f t="shared" si="4"/>
        <v>1</v>
      </c>
      <c r="AC17" s="1350">
        <f t="shared" si="5"/>
        <v>1</v>
      </c>
    </row>
    <row r="18" spans="1:29" ht="15" hidden="1">
      <c r="A18" s="379"/>
      <c r="B18" s="407"/>
      <c r="C18" s="1897" t="s">
        <v>3503</v>
      </c>
      <c r="D18" s="401"/>
      <c r="E18" s="1897" t="s">
        <v>3503</v>
      </c>
      <c r="F18" s="401"/>
      <c r="G18" s="1897" t="s">
        <v>3503</v>
      </c>
      <c r="H18" s="399"/>
      <c r="I18" s="1897" t="s">
        <v>3503</v>
      </c>
      <c r="J18" s="399"/>
      <c r="K18" s="618"/>
      <c r="L18" s="2713"/>
      <c r="M18" s="2707"/>
      <c r="N18" s="2707"/>
      <c r="O18" s="2765"/>
      <c r="P18" s="3668"/>
      <c r="Q18" s="1349"/>
      <c r="R18" s="703"/>
      <c r="S18" s="704"/>
      <c r="T18" s="703"/>
      <c r="U18" s="704"/>
      <c r="V18" s="703"/>
      <c r="W18" s="704"/>
      <c r="X18" s="1352"/>
      <c r="Y18" s="3668"/>
      <c r="Z18" s="1353"/>
      <c r="AA18" s="1350">
        <v>1</v>
      </c>
      <c r="AB18" s="1350">
        <v>1</v>
      </c>
      <c r="AC18" s="1350">
        <v>1</v>
      </c>
    </row>
    <row r="19" spans="1:29" ht="15" hidden="1">
      <c r="A19" s="379"/>
      <c r="B19" s="402" t="s">
        <v>1809</v>
      </c>
      <c r="C19" s="1949" t="str">
        <f>估价对象房地状况!C17</f>
        <v>一般</v>
      </c>
      <c r="D19" s="406">
        <v>100</v>
      </c>
      <c r="E19" s="408" t="s">
        <v>3503</v>
      </c>
      <c r="F19" s="406">
        <f>SUMIF(91:91,E20,92:92)-SUMIF(91:91,C20,92:92)+100</f>
        <v>100</v>
      </c>
      <c r="G19" s="408" t="s">
        <v>3503</v>
      </c>
      <c r="H19" s="401">
        <f>SUMIF(91:91,G20,92:92)-SUMIF(91:91,C20,92:92)+100</f>
        <v>100</v>
      </c>
      <c r="I19" s="410" t="s">
        <v>3503</v>
      </c>
      <c r="J19" s="401">
        <f>SUMIF(91:91,I20,92:92)-SUMIF(91:91,C20,92:92)+100</f>
        <v>100</v>
      </c>
      <c r="K19" s="619"/>
      <c r="L19" s="2713"/>
      <c r="M19" s="2707"/>
      <c r="N19" s="2707"/>
      <c r="O19" s="2765"/>
      <c r="P19" s="3668"/>
      <c r="Q19" s="1349" t="str">
        <f>B19</f>
        <v>办公集聚程度</v>
      </c>
      <c r="R19" s="703" t="s">
        <v>14</v>
      </c>
      <c r="S19" s="704">
        <f>F19</f>
        <v>100</v>
      </c>
      <c r="T19" s="703" t="s">
        <v>14</v>
      </c>
      <c r="U19" s="704">
        <f>H19</f>
        <v>100</v>
      </c>
      <c r="V19" s="703" t="s">
        <v>14</v>
      </c>
      <c r="W19" s="704">
        <f>J19</f>
        <v>100</v>
      </c>
      <c r="X19" s="1352"/>
      <c r="Y19" s="3668"/>
      <c r="Z19" s="1353" t="str">
        <f>Q19</f>
        <v>办公集聚程度</v>
      </c>
      <c r="AA19" s="1350">
        <f t="shared" si="3"/>
        <v>1</v>
      </c>
      <c r="AB19" s="1350">
        <f t="shared" si="4"/>
        <v>1</v>
      </c>
      <c r="AC19" s="1350">
        <f t="shared" si="5"/>
        <v>1</v>
      </c>
    </row>
    <row r="20" spans="1:29" ht="15" hidden="1">
      <c r="A20" s="379"/>
      <c r="B20" s="407"/>
      <c r="C20" s="398" t="s">
        <v>3503</v>
      </c>
      <c r="D20" s="399"/>
      <c r="E20" s="398" t="s">
        <v>3503</v>
      </c>
      <c r="F20" s="399"/>
      <c r="G20" s="398" t="s">
        <v>3503</v>
      </c>
      <c r="H20" s="399"/>
      <c r="I20" s="398" t="s">
        <v>3503</v>
      </c>
      <c r="J20" s="399"/>
      <c r="K20" s="618"/>
      <c r="L20" s="2713"/>
      <c r="M20" s="2707"/>
      <c r="N20" s="2707"/>
      <c r="O20" s="2765"/>
      <c r="P20" s="3668"/>
      <c r="Q20" s="1349"/>
      <c r="R20" s="703"/>
      <c r="S20" s="704"/>
      <c r="T20" s="703"/>
      <c r="U20" s="704"/>
      <c r="V20" s="703"/>
      <c r="W20" s="704"/>
      <c r="X20" s="1352"/>
      <c r="Y20" s="3668"/>
      <c r="Z20" s="1353"/>
      <c r="AA20" s="1350">
        <v>1</v>
      </c>
      <c r="AB20" s="1350">
        <v>1</v>
      </c>
      <c r="AC20" s="1350">
        <v>1</v>
      </c>
    </row>
    <row r="21" spans="1:29" ht="15">
      <c r="A21" s="379"/>
      <c r="B21" s="402" t="s">
        <v>1831</v>
      </c>
      <c r="C21" s="1896" t="str">
        <f>估价对象房地状况!C18</f>
        <v>一般</v>
      </c>
      <c r="D21" s="401">
        <v>100</v>
      </c>
      <c r="E21" s="403" t="s">
        <v>3503</v>
      </c>
      <c r="F21" s="406">
        <f>SUMIF(93:93,E22,94:94)-SUMIF(93:93,C22,94:94)+100</f>
        <v>100</v>
      </c>
      <c r="G21" s="403" t="s">
        <v>3503</v>
      </c>
      <c r="H21" s="401">
        <f>SUMIF(93:93,G22,94:94)-SUMIF(93:93,C22,94:94)+100</f>
        <v>100</v>
      </c>
      <c r="I21" s="405" t="s">
        <v>3503</v>
      </c>
      <c r="J21" s="401">
        <f>SUMIF(93:93,I22,94:94)-SUMIF(93:93,C22,94:94)+100</f>
        <v>100</v>
      </c>
      <c r="K21" s="619">
        <v>2</v>
      </c>
      <c r="L21" s="2713"/>
      <c r="M21" s="2707"/>
      <c r="N21" s="2707"/>
      <c r="O21" s="2765"/>
      <c r="P21" s="3668"/>
      <c r="Q21" s="1349" t="str">
        <f>B21</f>
        <v>交通便捷度</v>
      </c>
      <c r="R21" s="703" t="s">
        <v>14</v>
      </c>
      <c r="S21" s="704">
        <f>F21</f>
        <v>100</v>
      </c>
      <c r="T21" s="703" t="s">
        <v>14</v>
      </c>
      <c r="U21" s="704">
        <f>H21</f>
        <v>100</v>
      </c>
      <c r="V21" s="703" t="s">
        <v>14</v>
      </c>
      <c r="W21" s="704">
        <f>J21</f>
        <v>100</v>
      </c>
      <c r="X21" s="1352"/>
      <c r="Y21" s="3668"/>
      <c r="Z21" s="1353" t="str">
        <f>Q21</f>
        <v>交通便捷度</v>
      </c>
      <c r="AA21" s="1350">
        <f t="shared" si="3"/>
        <v>1</v>
      </c>
      <c r="AB21" s="1350">
        <f t="shared" si="4"/>
        <v>1</v>
      </c>
      <c r="AC21" s="1350">
        <f t="shared" si="5"/>
        <v>1</v>
      </c>
    </row>
    <row r="22" spans="1:29" ht="15">
      <c r="A22" s="379"/>
      <c r="B22" s="1129"/>
      <c r="C22" s="398" t="s">
        <v>3503</v>
      </c>
      <c r="D22" s="401"/>
      <c r="E22" s="1894" t="s">
        <v>3503</v>
      </c>
      <c r="F22" s="399"/>
      <c r="G22" s="1894" t="s">
        <v>3503</v>
      </c>
      <c r="H22" s="399"/>
      <c r="I22" s="1893" t="s">
        <v>3503</v>
      </c>
      <c r="J22" s="399"/>
      <c r="K22" s="618"/>
      <c r="L22" s="2713"/>
      <c r="M22" s="2707"/>
      <c r="N22" s="2707"/>
      <c r="O22" s="2765"/>
      <c r="P22" s="3668"/>
      <c r="Q22" s="1349"/>
      <c r="R22" s="703"/>
      <c r="S22" s="704"/>
      <c r="T22" s="703"/>
      <c r="U22" s="704"/>
      <c r="V22" s="703"/>
      <c r="W22" s="704"/>
      <c r="X22" s="1352"/>
      <c r="Y22" s="3668"/>
      <c r="Z22" s="1353"/>
      <c r="AA22" s="1350">
        <v>1</v>
      </c>
      <c r="AB22" s="1350">
        <v>1</v>
      </c>
      <c r="AC22" s="1350">
        <v>1</v>
      </c>
    </row>
    <row r="23" spans="1:29" ht="15">
      <c r="A23" s="358"/>
      <c r="B23" s="402" t="s">
        <v>1869</v>
      </c>
      <c r="C23" s="1134">
        <f>估价对象房地状况!C19</f>
        <v>0</v>
      </c>
      <c r="D23" s="406">
        <v>100</v>
      </c>
      <c r="E23" s="403" t="s">
        <v>3501</v>
      </c>
      <c r="F23" s="406">
        <f>SUMIF(95:95,E24,96:96)-SUMIF(95:95,C24,96:96)+100</f>
        <v>100</v>
      </c>
      <c r="G23" s="405" t="s">
        <v>3501</v>
      </c>
      <c r="H23" s="406">
        <f>SUMIF(95:95,G24,96:96)-SUMIF(95:95,C24,96:96)+100</f>
        <v>100</v>
      </c>
      <c r="I23" s="405" t="s">
        <v>3501</v>
      </c>
      <c r="J23" s="406">
        <f>SUMIF(95:95,I24,96:96)-SUMIF(95:95,C24,96:96)+100</f>
        <v>100</v>
      </c>
      <c r="K23" s="619">
        <v>2</v>
      </c>
      <c r="L23" s="2713"/>
      <c r="M23" s="2707"/>
      <c r="N23" s="2707"/>
      <c r="O23" s="2765"/>
      <c r="P23" s="3668"/>
      <c r="Q23" s="1349" t="str">
        <f t="shared" ref="Q23:Q37" si="8">B23</f>
        <v>区域土地利用方向</v>
      </c>
      <c r="R23" s="703" t="s">
        <v>14</v>
      </c>
      <c r="S23" s="704">
        <f>F23</f>
        <v>100</v>
      </c>
      <c r="T23" s="703" t="s">
        <v>14</v>
      </c>
      <c r="U23" s="704">
        <f>H23</f>
        <v>100</v>
      </c>
      <c r="V23" s="703" t="s">
        <v>14</v>
      </c>
      <c r="W23" s="704">
        <f>J23</f>
        <v>100</v>
      </c>
      <c r="X23" s="1352"/>
      <c r="Y23" s="3668"/>
      <c r="Z23" s="1353" t="str">
        <f>Q23</f>
        <v>区域土地利用方向</v>
      </c>
      <c r="AA23" s="1350">
        <f t="shared" si="3"/>
        <v>1</v>
      </c>
      <c r="AB23" s="1350">
        <f t="shared" si="4"/>
        <v>1</v>
      </c>
      <c r="AC23" s="1350">
        <f t="shared" si="5"/>
        <v>1</v>
      </c>
    </row>
    <row r="24" spans="1:29" ht="15">
      <c r="A24" s="358"/>
      <c r="B24" s="407"/>
      <c r="C24" s="563" t="s">
        <v>3501</v>
      </c>
      <c r="D24" s="399"/>
      <c r="E24" s="1894" t="s">
        <v>3501</v>
      </c>
      <c r="F24" s="399"/>
      <c r="G24" s="1893" t="s">
        <v>3501</v>
      </c>
      <c r="H24" s="399"/>
      <c r="I24" s="1893" t="s">
        <v>3501</v>
      </c>
      <c r="J24" s="399"/>
      <c r="K24" s="738"/>
      <c r="L24" s="2713"/>
      <c r="M24" s="2707"/>
      <c r="N24" s="2707"/>
      <c r="O24" s="2765"/>
      <c r="P24" s="3668"/>
      <c r="Q24" s="1349"/>
      <c r="R24" s="703"/>
      <c r="S24" s="704"/>
      <c r="T24" s="703"/>
      <c r="U24" s="704"/>
      <c r="V24" s="703"/>
      <c r="W24" s="704"/>
      <c r="X24" s="1352"/>
      <c r="Y24" s="3668"/>
      <c r="Z24" s="1353"/>
      <c r="AA24" s="1350"/>
      <c r="AB24" s="1350"/>
      <c r="AC24" s="1350"/>
    </row>
    <row r="25" spans="1:29" ht="27">
      <c r="A25" s="358"/>
      <c r="B25" s="1129" t="s">
        <v>1870</v>
      </c>
      <c r="C25" s="1949" t="str">
        <f>估价对象房地状况!C20</f>
        <v>较好</v>
      </c>
      <c r="D25" s="401">
        <v>100</v>
      </c>
      <c r="E25" s="403" t="s">
        <v>3501</v>
      </c>
      <c r="F25" s="401">
        <f>SUMIF(97:97,E26,98:98)-SUMIF(97:97,C26,98:98)+100</f>
        <v>100</v>
      </c>
      <c r="G25" s="403" t="s">
        <v>3501</v>
      </c>
      <c r="H25" s="401">
        <f>SUMIF(97:97,G26,98:98)-SUMIF(97:97,C26,98:98)+100</f>
        <v>100</v>
      </c>
      <c r="I25" s="405" t="s">
        <v>3501</v>
      </c>
      <c r="J25" s="401">
        <f>SUMIF(97:97,I26,98:98)-SUMIF(97:97,C26,98:98)+100</f>
        <v>100</v>
      </c>
      <c r="K25" s="619">
        <v>2</v>
      </c>
      <c r="L25" s="2713"/>
      <c r="M25" s="2707"/>
      <c r="N25" s="2707"/>
      <c r="O25" s="2765"/>
      <c r="P25" s="3668"/>
      <c r="Q25" s="1349" t="str">
        <f t="shared" si="8"/>
        <v>自然及人文环境状况</v>
      </c>
      <c r="R25" s="703" t="s">
        <v>14</v>
      </c>
      <c r="S25" s="704">
        <f>F25</f>
        <v>100</v>
      </c>
      <c r="T25" s="703" t="s">
        <v>14</v>
      </c>
      <c r="U25" s="704">
        <f>H25</f>
        <v>100</v>
      </c>
      <c r="V25" s="703" t="s">
        <v>14</v>
      </c>
      <c r="W25" s="704">
        <f>J25</f>
        <v>100</v>
      </c>
      <c r="X25" s="1352"/>
      <c r="Y25" s="3668"/>
      <c r="Z25" s="1353" t="str">
        <f>Q25</f>
        <v>自然及人文环境状况</v>
      </c>
      <c r="AA25" s="1350">
        <f t="shared" si="3"/>
        <v>1</v>
      </c>
      <c r="AB25" s="1350">
        <f t="shared" si="4"/>
        <v>1</v>
      </c>
      <c r="AC25" s="1350">
        <f t="shared" si="5"/>
        <v>1</v>
      </c>
    </row>
    <row r="26" spans="1:29" ht="15">
      <c r="A26" s="358"/>
      <c r="B26" s="407"/>
      <c r="C26" s="398" t="s">
        <v>3501</v>
      </c>
      <c r="D26" s="399"/>
      <c r="E26" s="1900" t="s">
        <v>3501</v>
      </c>
      <c r="F26" s="399"/>
      <c r="G26" s="1900" t="s">
        <v>3501</v>
      </c>
      <c r="H26" s="399"/>
      <c r="I26" s="398" t="s">
        <v>3501</v>
      </c>
      <c r="J26" s="399"/>
      <c r="K26" s="618"/>
      <c r="L26" s="2713"/>
      <c r="M26" s="2707"/>
      <c r="N26" s="2707"/>
      <c r="O26" s="2765"/>
      <c r="P26" s="3668"/>
      <c r="Q26" s="1349"/>
      <c r="R26" s="703"/>
      <c r="S26" s="704"/>
      <c r="T26" s="703"/>
      <c r="U26" s="704"/>
      <c r="V26" s="703"/>
      <c r="W26" s="704"/>
      <c r="X26" s="1352"/>
      <c r="Y26" s="3668"/>
      <c r="Z26" s="1353"/>
      <c r="AA26" s="1350">
        <v>1</v>
      </c>
      <c r="AB26" s="1350">
        <v>1</v>
      </c>
      <c r="AC26" s="1350">
        <v>1</v>
      </c>
    </row>
    <row r="27" spans="1:29" s="108" customFormat="1" ht="15">
      <c r="A27" s="595"/>
      <c r="B27" s="1129" t="s">
        <v>1776</v>
      </c>
      <c r="C27" s="1896" t="str">
        <f>估价对象房地状况!C21</f>
        <v>一般</v>
      </c>
      <c r="D27" s="401">
        <v>100</v>
      </c>
      <c r="E27" s="403" t="s">
        <v>3503</v>
      </c>
      <c r="F27" s="401">
        <f>SUMIF(99:99,E28,100:100)-SUMIF(99:99,C28,100:100)+100</f>
        <v>100</v>
      </c>
      <c r="G27" s="403" t="s">
        <v>3503</v>
      </c>
      <c r="H27" s="401">
        <f>SUMIF(99:99,G28,100:100)-SUMIF(99:99,C28,100:100)+100</f>
        <v>100</v>
      </c>
      <c r="I27" s="405" t="s">
        <v>3503</v>
      </c>
      <c r="J27" s="401">
        <f>SUMIF(99:99,I28,100:100)-SUMIF(99:99,C28,100:100)+100</f>
        <v>100</v>
      </c>
      <c r="K27" s="619">
        <v>2</v>
      </c>
      <c r="L27" s="2708"/>
      <c r="M27" s="2709"/>
      <c r="N27" s="2709"/>
      <c r="O27" s="2763"/>
      <c r="P27" s="3668"/>
      <c r="Q27" s="1340" t="str">
        <f t="shared" si="8"/>
        <v>公共配套设施</v>
      </c>
      <c r="R27" s="699" t="s">
        <v>14</v>
      </c>
      <c r="S27" s="700">
        <f>F27</f>
        <v>100</v>
      </c>
      <c r="T27" s="699" t="s">
        <v>14</v>
      </c>
      <c r="U27" s="700">
        <f>H27</f>
        <v>100</v>
      </c>
      <c r="V27" s="699" t="s">
        <v>14</v>
      </c>
      <c r="W27" s="700">
        <f>J27</f>
        <v>100</v>
      </c>
      <c r="X27" s="701"/>
      <c r="Y27" s="3668"/>
      <c r="Z27" s="52" t="str">
        <f>Q27</f>
        <v>公共配套设施</v>
      </c>
      <c r="AA27" s="1350">
        <f>D27/F27</f>
        <v>1</v>
      </c>
      <c r="AB27" s="1350">
        <f>D27/H27</f>
        <v>1</v>
      </c>
      <c r="AC27" s="1350">
        <f>D27/J27</f>
        <v>1</v>
      </c>
    </row>
    <row r="28" spans="1:29" s="108" customFormat="1" ht="15">
      <c r="A28" s="595"/>
      <c r="B28" s="407"/>
      <c r="C28" s="1972" t="s">
        <v>3503</v>
      </c>
      <c r="D28" s="399"/>
      <c r="E28" s="1900" t="s">
        <v>3503</v>
      </c>
      <c r="F28" s="399"/>
      <c r="G28" s="1900" t="s">
        <v>3503</v>
      </c>
      <c r="H28" s="399"/>
      <c r="I28" s="398" t="s">
        <v>3503</v>
      </c>
      <c r="J28" s="399"/>
      <c r="K28" s="618"/>
      <c r="L28" s="2708"/>
      <c r="M28" s="2709"/>
      <c r="N28" s="2709"/>
      <c r="O28" s="2763"/>
      <c r="P28" s="3668"/>
      <c r="Q28" s="1340"/>
      <c r="R28" s="699"/>
      <c r="S28" s="700"/>
      <c r="T28" s="699"/>
      <c r="U28" s="700"/>
      <c r="V28" s="699"/>
      <c r="W28" s="700"/>
      <c r="X28" s="701"/>
      <c r="Y28" s="3668"/>
      <c r="Z28" s="52"/>
      <c r="AA28" s="1350">
        <v>1</v>
      </c>
      <c r="AB28" s="1350">
        <v>1</v>
      </c>
      <c r="AC28" s="1350">
        <v>1</v>
      </c>
    </row>
    <row r="29" spans="1:29" s="108" customFormat="1" ht="15">
      <c r="A29" s="595"/>
      <c r="B29" s="1129" t="s">
        <v>1777</v>
      </c>
      <c r="C29" s="1896" t="str">
        <f>估价对象房地状况!C22</f>
        <v>六通</v>
      </c>
      <c r="D29" s="401">
        <v>100</v>
      </c>
      <c r="E29" s="403" t="s">
        <v>3507</v>
      </c>
      <c r="F29" s="401">
        <f>SUMIF(101:101,E30,102:102)-SUMIF(101:101,C30,102:102)+100</f>
        <v>100</v>
      </c>
      <c r="G29" s="403" t="s">
        <v>3514</v>
      </c>
      <c r="H29" s="401">
        <f>SUMIF(101:101,G30,102:102)-SUMIF(101:101,C30,102:102)+100</f>
        <v>101</v>
      </c>
      <c r="I29" s="405" t="s">
        <v>3514</v>
      </c>
      <c r="J29" s="401">
        <f>SUMIF(101:101,I30,102:102)-SUMIF(101:101,C30,102:102)+100</f>
        <v>101</v>
      </c>
      <c r="K29" s="619">
        <v>1</v>
      </c>
      <c r="L29" s="2708"/>
      <c r="M29" s="2709"/>
      <c r="N29" s="2709"/>
      <c r="O29" s="2763"/>
      <c r="P29" s="3668"/>
      <c r="Q29" s="1340" t="str">
        <f t="shared" ref="Q29" si="9">B29</f>
        <v>基础设施水平</v>
      </c>
      <c r="R29" s="699" t="s">
        <v>14</v>
      </c>
      <c r="S29" s="700">
        <f>F29</f>
        <v>100</v>
      </c>
      <c r="T29" s="699" t="s">
        <v>14</v>
      </c>
      <c r="U29" s="700">
        <f>H29</f>
        <v>101</v>
      </c>
      <c r="V29" s="699" t="s">
        <v>14</v>
      </c>
      <c r="W29" s="700">
        <f>J29</f>
        <v>101</v>
      </c>
      <c r="X29" s="701"/>
      <c r="Y29" s="3668"/>
      <c r="Z29" s="52" t="str">
        <f>Q29</f>
        <v>基础设施水平</v>
      </c>
      <c r="AA29" s="1350">
        <f>D29/F29</f>
        <v>1</v>
      </c>
      <c r="AB29" s="1350">
        <f>D29/H29</f>
        <v>0.99009900990099009</v>
      </c>
      <c r="AC29" s="1350">
        <f>D29/J29</f>
        <v>0.99009900990099009</v>
      </c>
    </row>
    <row r="30" spans="1:29" s="108" customFormat="1" ht="15.75" thickBot="1">
      <c r="A30" s="595"/>
      <c r="B30" s="407"/>
      <c r="C30" s="1972" t="s">
        <v>3507</v>
      </c>
      <c r="D30" s="399"/>
      <c r="E30" s="1973" t="s">
        <v>3507</v>
      </c>
      <c r="F30" s="399"/>
      <c r="G30" s="1973" t="s">
        <v>3514</v>
      </c>
      <c r="H30" s="399"/>
      <c r="I30" s="1973" t="s">
        <v>3514</v>
      </c>
      <c r="J30" s="399"/>
      <c r="K30" s="618"/>
      <c r="L30" s="2708"/>
      <c r="M30" s="2709"/>
      <c r="N30" s="2709"/>
      <c r="O30" s="2763"/>
      <c r="P30" s="3668"/>
      <c r="Q30" s="1340"/>
      <c r="R30" s="699"/>
      <c r="S30" s="700"/>
      <c r="T30" s="699"/>
      <c r="U30" s="700"/>
      <c r="V30" s="699"/>
      <c r="W30" s="700"/>
      <c r="X30" s="701"/>
      <c r="Y30" s="3668"/>
      <c r="Z30" s="52"/>
      <c r="AA30" s="1350">
        <v>1</v>
      </c>
      <c r="AB30" s="1350">
        <v>1</v>
      </c>
      <c r="AC30" s="1350">
        <v>1</v>
      </c>
    </row>
    <row r="31" spans="1:29" ht="15" hidden="1">
      <c r="A31" s="379"/>
      <c r="B31" s="407" t="s">
        <v>1778</v>
      </c>
      <c r="C31" s="563"/>
      <c r="D31" s="386">
        <v>100</v>
      </c>
      <c r="E31" s="580"/>
      <c r="F31" s="386">
        <f>SUMIF(103:103,E31,104:104)-SUMIF(103:103,C31,104:104)+100</f>
        <v>100</v>
      </c>
      <c r="G31" s="580"/>
      <c r="H31" s="386">
        <f>SUMIF(103:103,G31,104:104)-SUMIF(103:103,C31,104:104)+100</f>
        <v>100</v>
      </c>
      <c r="I31" s="580"/>
      <c r="J31" s="386">
        <f>SUMIF(103:103,I31,104:104)-SUMIF(103:103,C31,104:104)+100</f>
        <v>100</v>
      </c>
      <c r="K31" s="619"/>
      <c r="L31" s="2713"/>
      <c r="M31" s="2707"/>
      <c r="N31" s="2707"/>
      <c r="O31" s="2765"/>
      <c r="P31" s="3668"/>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68"/>
      <c r="Z31" s="1353" t="str">
        <f t="shared" ref="Z31:Z45" si="13">Q31</f>
        <v>临街状况</v>
      </c>
      <c r="AA31" s="1350">
        <f t="shared" si="3"/>
        <v>1</v>
      </c>
      <c r="AB31" s="1350">
        <f t="shared" si="4"/>
        <v>1</v>
      </c>
      <c r="AC31" s="1350">
        <f t="shared" si="5"/>
        <v>1</v>
      </c>
    </row>
    <row r="32" spans="1:29" ht="27" hidden="1">
      <c r="A32" s="379"/>
      <c r="B32" s="1129"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9"/>
      <c r="L32" s="2713"/>
      <c r="M32" s="2707"/>
      <c r="N32" s="2707"/>
      <c r="O32" s="2765"/>
      <c r="P32" s="3668"/>
      <c r="Q32" s="1349" t="str">
        <f t="shared" si="8"/>
        <v>毗邻道路的类型与等级</v>
      </c>
      <c r="R32" s="703" t="s">
        <v>14</v>
      </c>
      <c r="S32" s="704">
        <f t="shared" si="10"/>
        <v>100</v>
      </c>
      <c r="T32" s="703" t="s">
        <v>14</v>
      </c>
      <c r="U32" s="704">
        <f t="shared" si="11"/>
        <v>100</v>
      </c>
      <c r="V32" s="703" t="s">
        <v>14</v>
      </c>
      <c r="W32" s="704">
        <f t="shared" si="12"/>
        <v>100</v>
      </c>
      <c r="X32" s="1352"/>
      <c r="Y32" s="3668"/>
      <c r="Z32" s="1353" t="str">
        <f t="shared" si="13"/>
        <v>毗邻道路的类型与等级</v>
      </c>
      <c r="AA32" s="1350">
        <f t="shared" si="3"/>
        <v>1</v>
      </c>
      <c r="AB32" s="1350">
        <f t="shared" si="4"/>
        <v>1</v>
      </c>
      <c r="AC32" s="1350">
        <f t="shared" si="5"/>
        <v>1</v>
      </c>
    </row>
    <row r="33" spans="1:29" ht="15" hidden="1">
      <c r="A33" s="379"/>
      <c r="B33" s="407"/>
      <c r="C33" s="398"/>
      <c r="D33" s="399"/>
      <c r="E33" s="1900"/>
      <c r="F33" s="399"/>
      <c r="G33" s="1900"/>
      <c r="H33" s="399"/>
      <c r="I33" s="398"/>
      <c r="J33" s="399"/>
      <c r="K33" s="560"/>
      <c r="L33" s="2713"/>
      <c r="M33" s="2707"/>
      <c r="N33" s="2707"/>
      <c r="O33" s="2765"/>
      <c r="P33" s="3668"/>
      <c r="Q33" s="1349"/>
      <c r="R33" s="703"/>
      <c r="S33" s="704"/>
      <c r="T33" s="703"/>
      <c r="U33" s="704"/>
      <c r="V33" s="703"/>
      <c r="W33" s="704"/>
      <c r="X33" s="1352"/>
      <c r="Y33" s="3668"/>
      <c r="Z33" s="1353"/>
      <c r="AA33" s="1350">
        <v>1</v>
      </c>
      <c r="AB33" s="1350">
        <v>1</v>
      </c>
      <c r="AC33" s="1350">
        <v>1</v>
      </c>
    </row>
    <row r="34" spans="1:29" ht="15" hidden="1">
      <c r="A34" s="379"/>
      <c r="B34" s="375" t="s">
        <v>1871</v>
      </c>
      <c r="C34" s="563"/>
      <c r="D34" s="386">
        <v>100</v>
      </c>
      <c r="E34" s="580"/>
      <c r="F34" s="386">
        <f>SUMIF(107:107,E34,108:108)-SUMIF(107:107,C34,108:108)+100</f>
        <v>100</v>
      </c>
      <c r="G34" s="580"/>
      <c r="H34" s="386">
        <f>SUMIF(107:107,G34,108:108)-SUMIF(107:107,C34,108:108)+100</f>
        <v>100</v>
      </c>
      <c r="I34" s="563"/>
      <c r="J34" s="386">
        <f>SUMIF(107:107,I34,108:108)-SUMIF(107:107,C34,108:108)+100</f>
        <v>100</v>
      </c>
      <c r="K34" s="559"/>
      <c r="L34" s="2713"/>
      <c r="M34" s="2707"/>
      <c r="N34" s="2707"/>
      <c r="O34" s="2765"/>
      <c r="P34" s="3668"/>
      <c r="Q34" s="1349" t="str">
        <f t="shared" si="8"/>
        <v>土地级别</v>
      </c>
      <c r="R34" s="703" t="s">
        <v>14</v>
      </c>
      <c r="S34" s="704">
        <f t="shared" si="10"/>
        <v>100</v>
      </c>
      <c r="T34" s="703" t="s">
        <v>14</v>
      </c>
      <c r="U34" s="704">
        <f t="shared" si="11"/>
        <v>100</v>
      </c>
      <c r="V34" s="703" t="s">
        <v>14</v>
      </c>
      <c r="W34" s="704">
        <f t="shared" si="12"/>
        <v>100</v>
      </c>
      <c r="X34" s="1352"/>
      <c r="Y34" s="3668"/>
      <c r="Z34" s="1353" t="str">
        <f t="shared" si="13"/>
        <v>土地级别</v>
      </c>
      <c r="AA34" s="1350">
        <f t="shared" si="3"/>
        <v>1</v>
      </c>
      <c r="AB34" s="1350">
        <f t="shared" si="4"/>
        <v>1</v>
      </c>
      <c r="AC34" s="1350">
        <f t="shared" si="5"/>
        <v>1</v>
      </c>
    </row>
    <row r="35" spans="1:29" ht="15" hidden="1">
      <c r="A35" s="358"/>
      <c r="B35" s="1131">
        <v>111</v>
      </c>
      <c r="C35" s="620"/>
      <c r="D35" s="386">
        <v>100</v>
      </c>
      <c r="E35" s="426"/>
      <c r="F35" s="386">
        <f>SUMIF(109:109,E35,110:110)-SUMIF(109:109,C35,110:110)+100</f>
        <v>100</v>
      </c>
      <c r="G35" s="426"/>
      <c r="H35" s="386">
        <f>SUMIF(109:109,G35,110:110)-SUMIF(109:109,C35,110:110)+100</f>
        <v>100</v>
      </c>
      <c r="I35" s="620"/>
      <c r="J35" s="386">
        <f>SUMIF(109:109,I35,110:110)-SUMIF(109:109,C35,110:110)+100</f>
        <v>100</v>
      </c>
      <c r="K35" s="560"/>
      <c r="L35" s="2713"/>
      <c r="M35" s="2707"/>
      <c r="N35" s="2707"/>
      <c r="O35" s="2765"/>
      <c r="P35" s="3668"/>
      <c r="Q35" s="1349">
        <f t="shared" si="8"/>
        <v>111</v>
      </c>
      <c r="R35" s="703" t="s">
        <v>14</v>
      </c>
      <c r="S35" s="704">
        <f t="shared" si="10"/>
        <v>100</v>
      </c>
      <c r="T35" s="703" t="s">
        <v>14</v>
      </c>
      <c r="U35" s="704">
        <f t="shared" si="11"/>
        <v>100</v>
      </c>
      <c r="V35" s="703" t="s">
        <v>14</v>
      </c>
      <c r="W35" s="704">
        <f t="shared" si="12"/>
        <v>100</v>
      </c>
      <c r="X35" s="1352"/>
      <c r="Y35" s="3668"/>
      <c r="Z35" s="1353">
        <f t="shared" si="13"/>
        <v>111</v>
      </c>
      <c r="AA35" s="1350">
        <f t="shared" si="3"/>
        <v>1</v>
      </c>
      <c r="AB35" s="1350">
        <f t="shared" si="4"/>
        <v>1</v>
      </c>
      <c r="AC35" s="1350">
        <f t="shared" si="5"/>
        <v>1</v>
      </c>
    </row>
    <row r="36" spans="1:29" ht="15" hidden="1">
      <c r="A36" s="621"/>
      <c r="B36" s="1132">
        <v>111</v>
      </c>
      <c r="C36" s="620"/>
      <c r="D36" s="386">
        <v>100</v>
      </c>
      <c r="E36" s="426"/>
      <c r="F36" s="386">
        <f>SUMIF(111:111,E37,112:112)-SUMIF(111:111,C37,112:112)+100</f>
        <v>100</v>
      </c>
      <c r="G36" s="426"/>
      <c r="H36" s="386">
        <f>SUMIF(111:111,G36,112:112)-SUMIF(111:111,C36,112:112)+100</f>
        <v>100</v>
      </c>
      <c r="I36" s="620"/>
      <c r="J36" s="386">
        <f>SUMIF(111:111,I36,112:112)-SUMIF(111:111,C36,112:112)+100</f>
        <v>100</v>
      </c>
      <c r="K36" s="560"/>
      <c r="L36" s="2713"/>
      <c r="M36" s="2707"/>
      <c r="N36" s="2707"/>
      <c r="O36" s="2765"/>
      <c r="P36" s="3669" t="s">
        <v>1694</v>
      </c>
      <c r="Q36" s="1349">
        <f t="shared" si="8"/>
        <v>111</v>
      </c>
      <c r="R36" s="703" t="s">
        <v>14</v>
      </c>
      <c r="S36" s="704">
        <f t="shared" si="10"/>
        <v>100</v>
      </c>
      <c r="T36" s="703" t="s">
        <v>14</v>
      </c>
      <c r="U36" s="704">
        <f t="shared" si="11"/>
        <v>100</v>
      </c>
      <c r="V36" s="703" t="s">
        <v>14</v>
      </c>
      <c r="W36" s="704">
        <f t="shared" si="12"/>
        <v>100</v>
      </c>
      <c r="X36" s="1352"/>
      <c r="Y36" s="3670" t="s">
        <v>1694</v>
      </c>
      <c r="Z36" s="1353">
        <f t="shared" si="13"/>
        <v>111</v>
      </c>
      <c r="AA36" s="1350">
        <f t="shared" si="3"/>
        <v>1</v>
      </c>
      <c r="AB36" s="1350">
        <f t="shared" si="4"/>
        <v>1</v>
      </c>
      <c r="AC36" s="1350">
        <f t="shared" si="5"/>
        <v>1</v>
      </c>
    </row>
    <row r="37" spans="1:29" s="422" customFormat="1" ht="15.75" hidden="1" thickBot="1">
      <c r="A37" s="622"/>
      <c r="B37" s="1133">
        <v>111</v>
      </c>
      <c r="C37" s="624"/>
      <c r="D37" s="128">
        <v>100</v>
      </c>
      <c r="E37" s="647"/>
      <c r="F37" s="389">
        <f>SUMIF(113:113,E37,114:114)-SUMIF(113:113,C37,114:114)+100</f>
        <v>100</v>
      </c>
      <c r="G37" s="647"/>
      <c r="H37" s="389">
        <f>SUMIF(113:113,G37,114:114)-SUMIF(113:113,C37,114:114)+100</f>
        <v>100</v>
      </c>
      <c r="I37" s="624"/>
      <c r="J37" s="389">
        <f>SUMIF(113:113,I37,114:114)-SUMIF(113:113,C37,114:114)+100</f>
        <v>100</v>
      </c>
      <c r="K37" s="560"/>
      <c r="L37" s="2712"/>
      <c r="M37" s="2714"/>
      <c r="N37" s="2714"/>
      <c r="O37" s="2766"/>
      <c r="P37" s="3670"/>
      <c r="Q37" s="1349">
        <f t="shared" si="8"/>
        <v>111</v>
      </c>
      <c r="R37" s="706" t="s">
        <v>14</v>
      </c>
      <c r="S37" s="707">
        <f t="shared" si="10"/>
        <v>100</v>
      </c>
      <c r="T37" s="706" t="s">
        <v>14</v>
      </c>
      <c r="U37" s="707">
        <f t="shared" si="11"/>
        <v>100</v>
      </c>
      <c r="V37" s="706" t="s">
        <v>14</v>
      </c>
      <c r="W37" s="707">
        <f t="shared" si="12"/>
        <v>100</v>
      </c>
      <c r="X37" s="708"/>
      <c r="Y37" s="3670"/>
      <c r="Z37" s="709">
        <f t="shared" si="13"/>
        <v>111</v>
      </c>
      <c r="AA37" s="1350">
        <f t="shared" si="3"/>
        <v>1</v>
      </c>
      <c r="AB37" s="1350">
        <f t="shared" si="4"/>
        <v>1</v>
      </c>
      <c r="AC37" s="1350">
        <f t="shared" si="5"/>
        <v>1</v>
      </c>
    </row>
    <row r="38" spans="1:29" ht="15">
      <c r="A38" s="423" t="s">
        <v>1692</v>
      </c>
      <c r="B38" s="407" t="s">
        <v>1872</v>
      </c>
      <c r="C38" s="625">
        <f>'数据-基础表'!A3</f>
        <v>73887.39</v>
      </c>
      <c r="D38" s="418">
        <v>100</v>
      </c>
      <c r="E38" s="625">
        <v>18388.669999999998</v>
      </c>
      <c r="F38" s="418">
        <f>LOOKUP(E38,116:116,117:117)-LOOKUP(C38,116:116,117:117)+100</f>
        <v>96</v>
      </c>
      <c r="G38" s="625">
        <v>51339.15</v>
      </c>
      <c r="H38" s="418">
        <f>LOOKUP(G38,116:116,117:117)-LOOKUP(C38,116:116,117:117)+100</f>
        <v>100</v>
      </c>
      <c r="I38" s="477">
        <v>44507.26</v>
      </c>
      <c r="J38" s="418">
        <f>LOOKUP(I38,116:116,117:117)-LOOKUP(C38,116:116,117:117)+100</f>
        <v>100</v>
      </c>
      <c r="K38" s="560"/>
      <c r="L38" s="2713"/>
      <c r="M38" s="2707"/>
      <c r="N38" s="2707"/>
      <c r="O38" s="2765"/>
      <c r="P38" s="3670"/>
      <c r="Q38" s="1349" t="str">
        <f>B38</f>
        <v>宗地面积</v>
      </c>
      <c r="R38" s="703" t="s">
        <v>14</v>
      </c>
      <c r="S38" s="704">
        <f t="shared" si="10"/>
        <v>96</v>
      </c>
      <c r="T38" s="703" t="s">
        <v>14</v>
      </c>
      <c r="U38" s="704">
        <f t="shared" si="11"/>
        <v>100</v>
      </c>
      <c r="V38" s="703" t="s">
        <v>14</v>
      </c>
      <c r="W38" s="704">
        <f t="shared" si="12"/>
        <v>100</v>
      </c>
      <c r="X38" s="1352"/>
      <c r="Y38" s="3670"/>
      <c r="Z38" s="1353" t="str">
        <f t="shared" si="13"/>
        <v>宗地面积</v>
      </c>
      <c r="AA38" s="1350">
        <f t="shared" si="3"/>
        <v>1.0416666666666667</v>
      </c>
      <c r="AB38" s="1350">
        <f t="shared" si="4"/>
        <v>1</v>
      </c>
      <c r="AC38" s="1350">
        <f t="shared" si="5"/>
        <v>1</v>
      </c>
    </row>
    <row r="39" spans="1:29" ht="15">
      <c r="A39" s="423"/>
      <c r="B39" s="375" t="s">
        <v>1873</v>
      </c>
      <c r="C39" s="1902" t="s">
        <v>3512</v>
      </c>
      <c r="D39" s="386">
        <v>100</v>
      </c>
      <c r="E39" s="1902" t="s">
        <v>3512</v>
      </c>
      <c r="F39" s="386">
        <f>SUMIF(118:118,E39,119:119)-SUMIF(118:118,C39,119:119)+100</f>
        <v>100</v>
      </c>
      <c r="G39" s="1902" t="s">
        <v>3515</v>
      </c>
      <c r="H39" s="386">
        <f>SUMIF(118:118,G39,119:119)-SUMIF(118:118,C39,119:119)+100</f>
        <v>100</v>
      </c>
      <c r="I39" s="1902" t="s">
        <v>3515</v>
      </c>
      <c r="J39" s="386">
        <f>SUMIF(118:118,I39,119:119)-SUMIF(118:118,C39,119:119)+100</f>
        <v>100</v>
      </c>
      <c r="K39" s="559">
        <v>2</v>
      </c>
      <c r="L39" s="2713"/>
      <c r="M39" s="2707"/>
      <c r="N39" s="2707"/>
      <c r="O39" s="2765"/>
      <c r="P39" s="3670"/>
      <c r="Q39" s="1349" t="str">
        <f t="shared" ref="Q39:Q45" si="14">B39</f>
        <v>宗地形状</v>
      </c>
      <c r="R39" s="703" t="s">
        <v>14</v>
      </c>
      <c r="S39" s="704">
        <f t="shared" si="10"/>
        <v>100</v>
      </c>
      <c r="T39" s="703" t="s">
        <v>14</v>
      </c>
      <c r="U39" s="704">
        <f t="shared" si="11"/>
        <v>100</v>
      </c>
      <c r="V39" s="703" t="s">
        <v>14</v>
      </c>
      <c r="W39" s="704">
        <f t="shared" si="12"/>
        <v>100</v>
      </c>
      <c r="X39" s="1352"/>
      <c r="Y39" s="3670"/>
      <c r="Z39" s="1353" t="str">
        <f t="shared" si="13"/>
        <v>宗地形状</v>
      </c>
      <c r="AA39" s="1350">
        <f t="shared" si="3"/>
        <v>1</v>
      </c>
      <c r="AB39" s="1350">
        <f t="shared" si="4"/>
        <v>1</v>
      </c>
      <c r="AC39" s="1350">
        <f t="shared" si="5"/>
        <v>1</v>
      </c>
    </row>
    <row r="40" spans="1:29" ht="15">
      <c r="A40" s="423"/>
      <c r="B40" s="375" t="s">
        <v>1874</v>
      </c>
      <c r="C40" s="1902"/>
      <c r="D40" s="386">
        <v>100</v>
      </c>
      <c r="E40" s="1902" t="s">
        <v>3513</v>
      </c>
      <c r="F40" s="386">
        <f>SUMIF(120:120,E40,121:121)-SUMIF(120:120,C40,121:121)+100</f>
        <v>100</v>
      </c>
      <c r="G40" s="1902" t="s">
        <v>3513</v>
      </c>
      <c r="H40" s="386">
        <f>SUMIF(120:120,G40,121:121)-SUMIF(120:120,C40,121:121)+100</f>
        <v>100</v>
      </c>
      <c r="I40" s="1902" t="s">
        <v>3513</v>
      </c>
      <c r="J40" s="386">
        <f>SUMIF(120:120,I40,121:121)-SUMIF(120:120,C40,121:121)+100</f>
        <v>100</v>
      </c>
      <c r="K40" s="559">
        <v>2</v>
      </c>
      <c r="L40" s="2713"/>
      <c r="M40" s="2707"/>
      <c r="N40" s="2707"/>
      <c r="O40" s="2765"/>
      <c r="P40" s="3670"/>
      <c r="Q40" s="1349" t="str">
        <f t="shared" si="14"/>
        <v>临街宽度及深度</v>
      </c>
      <c r="R40" s="703" t="s">
        <v>14</v>
      </c>
      <c r="S40" s="704">
        <f t="shared" si="10"/>
        <v>100</v>
      </c>
      <c r="T40" s="703" t="s">
        <v>14</v>
      </c>
      <c r="U40" s="704">
        <f t="shared" si="11"/>
        <v>100</v>
      </c>
      <c r="V40" s="703" t="s">
        <v>14</v>
      </c>
      <c r="W40" s="704">
        <f t="shared" si="12"/>
        <v>100</v>
      </c>
      <c r="X40" s="1352"/>
      <c r="Y40" s="3670"/>
      <c r="Z40" s="1353" t="str">
        <f t="shared" si="13"/>
        <v>临街宽度及深度</v>
      </c>
      <c r="AA40" s="1350">
        <f t="shared" si="3"/>
        <v>1</v>
      </c>
      <c r="AB40" s="1350">
        <f t="shared" si="4"/>
        <v>1</v>
      </c>
      <c r="AC40" s="1350">
        <f t="shared" si="5"/>
        <v>1</v>
      </c>
    </row>
    <row r="41" spans="1:29" s="108" customFormat="1" ht="15">
      <c r="A41" s="424"/>
      <c r="B41" s="375" t="s">
        <v>1875</v>
      </c>
      <c r="C41" s="1974" t="s">
        <v>3507</v>
      </c>
      <c r="D41" s="127">
        <v>100</v>
      </c>
      <c r="E41" s="1974" t="s">
        <v>3507</v>
      </c>
      <c r="F41" s="386">
        <f>SUMIF(122:122,E41,123:123)-SUMIF(122:122,C41,123:123)+100</f>
        <v>100</v>
      </c>
      <c r="G41" s="1974" t="s">
        <v>3516</v>
      </c>
      <c r="H41" s="386">
        <f>SUMIF(122:122,G41,123:123)-SUMIF(122:122,C41,123:123)+100</f>
        <v>100</v>
      </c>
      <c r="I41" s="1974" t="s">
        <v>3516</v>
      </c>
      <c r="J41" s="386">
        <f>SUMIF(122:122,I41,123:123)-SUMIF(122:122,C41,123:123)+100</f>
        <v>100</v>
      </c>
      <c r="K41" s="559">
        <v>1</v>
      </c>
      <c r="L41" s="2708"/>
      <c r="M41" s="2709"/>
      <c r="N41" s="2709"/>
      <c r="O41" s="2763"/>
      <c r="P41" s="3670"/>
      <c r="Q41" s="1349" t="str">
        <f t="shared" si="14"/>
        <v>宗地开发程度</v>
      </c>
      <c r="R41" s="699" t="s">
        <v>14</v>
      </c>
      <c r="S41" s="700">
        <f t="shared" si="10"/>
        <v>100</v>
      </c>
      <c r="T41" s="699" t="s">
        <v>14</v>
      </c>
      <c r="U41" s="700">
        <f t="shared" si="11"/>
        <v>100</v>
      </c>
      <c r="V41" s="699" t="s">
        <v>14</v>
      </c>
      <c r="W41" s="700">
        <f t="shared" si="12"/>
        <v>100</v>
      </c>
      <c r="X41" s="701"/>
      <c r="Y41" s="3670"/>
      <c r="Z41" s="52" t="str">
        <f t="shared" si="13"/>
        <v>宗地开发程度</v>
      </c>
      <c r="AA41" s="702">
        <f t="shared" si="3"/>
        <v>1</v>
      </c>
      <c r="AB41" s="702">
        <f t="shared" si="4"/>
        <v>1</v>
      </c>
      <c r="AC41" s="702">
        <f t="shared" si="5"/>
        <v>1</v>
      </c>
    </row>
    <row r="42" spans="1:29" ht="15.75" thickBot="1">
      <c r="A42" s="423"/>
      <c r="B42" s="375" t="s">
        <v>1876</v>
      </c>
      <c r="C42" s="1902" t="s">
        <v>3501</v>
      </c>
      <c r="D42" s="386">
        <v>100</v>
      </c>
      <c r="E42" s="1902" t="s">
        <v>3501</v>
      </c>
      <c r="F42" s="386">
        <f>SUMIF(124:124,E42,125:125)-SUMIF(124:124,C42,125:125)+100</f>
        <v>100</v>
      </c>
      <c r="G42" s="1902" t="s">
        <v>3501</v>
      </c>
      <c r="H42" s="386">
        <f>SUMIF(124:124,G42,125:125)-SUMIF(124:124,C42,125:125)+100</f>
        <v>100</v>
      </c>
      <c r="I42" s="1902" t="s">
        <v>3501</v>
      </c>
      <c r="J42" s="386">
        <f>SUMIF(124:124,I42,125:125)-SUMIF(124:124,C42,125:125)+100</f>
        <v>100</v>
      </c>
      <c r="K42" s="559">
        <v>2</v>
      </c>
      <c r="L42" s="2713"/>
      <c r="M42" s="2707"/>
      <c r="N42" s="2707"/>
      <c r="O42" s="2765"/>
      <c r="P42" s="3670" t="s">
        <v>1694</v>
      </c>
      <c r="Q42" s="1349" t="str">
        <f t="shared" si="14"/>
        <v>工程地质条件</v>
      </c>
      <c r="R42" s="703" t="s">
        <v>14</v>
      </c>
      <c r="S42" s="704">
        <f t="shared" si="10"/>
        <v>100</v>
      </c>
      <c r="T42" s="703" t="s">
        <v>14</v>
      </c>
      <c r="U42" s="704">
        <f t="shared" si="11"/>
        <v>100</v>
      </c>
      <c r="V42" s="703" t="s">
        <v>14</v>
      </c>
      <c r="W42" s="704">
        <f t="shared" si="12"/>
        <v>100</v>
      </c>
      <c r="X42" s="1352"/>
      <c r="Y42" s="3670" t="s">
        <v>1694</v>
      </c>
      <c r="Z42" s="1353" t="str">
        <f t="shared" si="13"/>
        <v>工程地质条件</v>
      </c>
      <c r="AA42" s="1350">
        <f t="shared" si="3"/>
        <v>1</v>
      </c>
      <c r="AB42" s="1350">
        <f t="shared" si="4"/>
        <v>1</v>
      </c>
      <c r="AC42" s="1350">
        <f t="shared" si="5"/>
        <v>1</v>
      </c>
    </row>
    <row r="43" spans="1:29" ht="15" hidden="1">
      <c r="A43" s="423"/>
      <c r="B43" s="1132">
        <v>111</v>
      </c>
      <c r="C43" s="620"/>
      <c r="D43" s="386">
        <v>100</v>
      </c>
      <c r="E43" s="620"/>
      <c r="F43" s="386">
        <f>SUMIF(126:126,E43,127:127)-SUMIF(126:126,C43,127:127)+100</f>
        <v>100</v>
      </c>
      <c r="G43" s="620"/>
      <c r="H43" s="386">
        <f>SUMIF(126:126,G43,127:127)-SUMIF(126:126,C43,127:127)+100</f>
        <v>100</v>
      </c>
      <c r="I43" s="496"/>
      <c r="J43" s="386">
        <f>SUMIF(126:126,I43,127:127)-SUMIF(126:126,C43,127:127)+100</f>
        <v>100</v>
      </c>
      <c r="K43" s="560"/>
      <c r="L43" s="2713"/>
      <c r="M43" s="2707"/>
      <c r="N43" s="2707"/>
      <c r="O43" s="2765"/>
      <c r="P43" s="3670"/>
      <c r="Q43" s="1349">
        <f t="shared" si="14"/>
        <v>111</v>
      </c>
      <c r="R43" s="703" t="s">
        <v>14</v>
      </c>
      <c r="S43" s="704">
        <f t="shared" si="10"/>
        <v>100</v>
      </c>
      <c r="T43" s="703" t="s">
        <v>14</v>
      </c>
      <c r="U43" s="704">
        <f t="shared" si="11"/>
        <v>100</v>
      </c>
      <c r="V43" s="703" t="s">
        <v>14</v>
      </c>
      <c r="W43" s="704">
        <f t="shared" si="12"/>
        <v>100</v>
      </c>
      <c r="X43" s="1352"/>
      <c r="Y43" s="3670"/>
      <c r="Z43" s="1353">
        <f t="shared" si="13"/>
        <v>111</v>
      </c>
      <c r="AA43" s="1350">
        <f t="shared" si="3"/>
        <v>1</v>
      </c>
      <c r="AB43" s="1350">
        <f t="shared" si="4"/>
        <v>1</v>
      </c>
      <c r="AC43" s="1350">
        <f t="shared" si="5"/>
        <v>1</v>
      </c>
    </row>
    <row r="44" spans="1:29" ht="15" hidden="1">
      <c r="A44" s="423"/>
      <c r="B44" s="1132">
        <v>111</v>
      </c>
      <c r="C44" s="620"/>
      <c r="D44" s="386">
        <v>100</v>
      </c>
      <c r="E44" s="620"/>
      <c r="F44" s="386">
        <f>SUMIF(128:128,E44,129:129)-SUMIF(128:128,C44,129:129)+100</f>
        <v>100</v>
      </c>
      <c r="G44" s="620"/>
      <c r="H44" s="386">
        <f>SUMIF(128:128,G44,129:129)-SUMIF(128:128,C44,129:129)+100</f>
        <v>100</v>
      </c>
      <c r="I44" s="496"/>
      <c r="J44" s="386">
        <f>SUMIF(128:128,I44,129:129)-SUMIF(128:128,C44,129:129)+100</f>
        <v>100</v>
      </c>
      <c r="K44" s="560"/>
      <c r="L44" s="2713"/>
      <c r="M44" s="2707"/>
      <c r="N44" s="2707"/>
      <c r="O44" s="2765"/>
      <c r="P44" s="3670"/>
      <c r="Q44" s="1349">
        <f t="shared" si="14"/>
        <v>111</v>
      </c>
      <c r="R44" s="703" t="s">
        <v>14</v>
      </c>
      <c r="S44" s="704">
        <f t="shared" si="10"/>
        <v>100</v>
      </c>
      <c r="T44" s="703" t="s">
        <v>14</v>
      </c>
      <c r="U44" s="704">
        <f t="shared" si="11"/>
        <v>100</v>
      </c>
      <c r="V44" s="703" t="s">
        <v>14</v>
      </c>
      <c r="W44" s="704">
        <f t="shared" si="12"/>
        <v>100</v>
      </c>
      <c r="X44" s="1352"/>
      <c r="Y44" s="3670"/>
      <c r="Z44" s="1353">
        <f t="shared" si="13"/>
        <v>111</v>
      </c>
      <c r="AA44" s="1350">
        <f t="shared" si="3"/>
        <v>1</v>
      </c>
      <c r="AB44" s="1350">
        <f t="shared" si="4"/>
        <v>1</v>
      </c>
      <c r="AC44" s="1350">
        <f t="shared" si="5"/>
        <v>1</v>
      </c>
    </row>
    <row r="45" spans="1:29" s="422" customFormat="1" ht="15.75" hidden="1" thickBot="1">
      <c r="A45" s="419"/>
      <c r="B45" s="1132">
        <v>111</v>
      </c>
      <c r="C45" s="1975"/>
      <c r="D45" s="626">
        <v>100</v>
      </c>
      <c r="E45" s="620"/>
      <c r="F45" s="389">
        <f>SUMIF(130:130,E45,131:131)-SUMIF(130:130,C45,131:131)+100</f>
        <v>100</v>
      </c>
      <c r="G45" s="620"/>
      <c r="H45" s="389">
        <f>SUMIF(130:130,G45,131:131)-SUMIF(130:130,C45,131:131)+100</f>
        <v>100</v>
      </c>
      <c r="I45" s="620"/>
      <c r="J45" s="389">
        <f>SUMIF(130:130,I45,131:131)-SUMIF(130:130,C45,131:131)+100</f>
        <v>100</v>
      </c>
      <c r="K45" s="627"/>
      <c r="L45" s="2712"/>
      <c r="M45" s="2714"/>
      <c r="N45" s="2714"/>
      <c r="O45" s="2766"/>
      <c r="P45" s="3670"/>
      <c r="Q45" s="1349">
        <f t="shared" si="14"/>
        <v>111</v>
      </c>
      <c r="R45" s="706" t="s">
        <v>14</v>
      </c>
      <c r="S45" s="707">
        <f t="shared" si="10"/>
        <v>100</v>
      </c>
      <c r="T45" s="706" t="s">
        <v>14</v>
      </c>
      <c r="U45" s="707">
        <f t="shared" si="11"/>
        <v>100</v>
      </c>
      <c r="V45" s="706" t="s">
        <v>14</v>
      </c>
      <c r="W45" s="707">
        <f t="shared" si="12"/>
        <v>100</v>
      </c>
      <c r="X45" s="708"/>
      <c r="Y45" s="3670"/>
      <c r="Z45" s="709">
        <f t="shared" si="13"/>
        <v>111</v>
      </c>
      <c r="AA45" s="1350">
        <f t="shared" si="3"/>
        <v>1</v>
      </c>
      <c r="AB45" s="1350">
        <f t="shared" si="4"/>
        <v>1</v>
      </c>
      <c r="AC45" s="1350">
        <f t="shared" si="5"/>
        <v>1</v>
      </c>
    </row>
    <row r="46" spans="1:29" ht="15">
      <c r="A46" s="428" t="s">
        <v>1842</v>
      </c>
      <c r="B46" s="1976" t="s">
        <v>1877</v>
      </c>
      <c r="C46" s="628" t="s">
        <v>0</v>
      </c>
      <c r="D46" s="430"/>
      <c r="E46" s="431">
        <v>89640</v>
      </c>
      <c r="F46" s="432"/>
      <c r="G46" s="433">
        <v>70070</v>
      </c>
      <c r="H46" s="434"/>
      <c r="I46" s="431">
        <v>70027</v>
      </c>
      <c r="J46" s="434"/>
      <c r="K46" s="712"/>
      <c r="L46" s="2715"/>
      <c r="M46" s="2716"/>
      <c r="N46" s="2707"/>
      <c r="O46" s="2716"/>
      <c r="P46" s="3666" t="str">
        <f>A46</f>
        <v>成交单价</v>
      </c>
      <c r="Q46" s="3666"/>
      <c r="R46" s="3671">
        <f>E46</f>
        <v>89640</v>
      </c>
      <c r="S46" s="3671"/>
      <c r="T46" s="3671">
        <f>G46</f>
        <v>70070</v>
      </c>
      <c r="U46" s="3671"/>
      <c r="V46" s="3671">
        <f>I46</f>
        <v>70027</v>
      </c>
      <c r="W46" s="3671"/>
      <c r="X46" s="688"/>
      <c r="Y46" s="710"/>
      <c r="Z46" s="688"/>
      <c r="AA46" s="688"/>
      <c r="AB46" s="688"/>
      <c r="AC46" s="688"/>
    </row>
    <row r="47" spans="1:29" ht="15.75" thickBot="1">
      <c r="A47" s="435" t="s">
        <v>1791</v>
      </c>
      <c r="B47" s="629"/>
      <c r="C47" s="438">
        <f>R48</f>
        <v>82130</v>
      </c>
      <c r="D47" s="2311" t="s">
        <v>2136</v>
      </c>
      <c r="E47" s="438">
        <f>R47</f>
        <v>94724</v>
      </c>
      <c r="F47" s="2312"/>
      <c r="G47" s="437">
        <f>T47</f>
        <v>75856</v>
      </c>
      <c r="H47" s="2312"/>
      <c r="I47" s="438">
        <f>V47</f>
        <v>75810</v>
      </c>
      <c r="J47" s="2312"/>
      <c r="K47" s="2314">
        <f>F47+H47+J47</f>
        <v>0</v>
      </c>
      <c r="L47" s="2715"/>
      <c r="M47" s="2716"/>
      <c r="N47" s="2716"/>
      <c r="O47" s="2716"/>
      <c r="P47" s="3666" t="str">
        <f>A47</f>
        <v>比较价值（元/平方米）</v>
      </c>
      <c r="Q47" s="3666"/>
      <c r="R47" s="3659">
        <f>ROUND(PRODUCT(R46,AA7:AA45),0)</f>
        <v>94724</v>
      </c>
      <c r="S47" s="3659"/>
      <c r="T47" s="3659">
        <f>ROUND(PRODUCT(T46,AB7:AB45),0)</f>
        <v>75856</v>
      </c>
      <c r="U47" s="3659"/>
      <c r="V47" s="3659">
        <f>ROUND(PRODUCT(V46,AC7:AC45),0)</f>
        <v>75810</v>
      </c>
      <c r="W47" s="3659"/>
      <c r="X47" s="688"/>
      <c r="Y47" s="688"/>
      <c r="Z47" s="688"/>
      <c r="AA47" s="688"/>
      <c r="AB47" s="688"/>
      <c r="AC47" s="688"/>
    </row>
    <row r="48" spans="1:29" ht="15.75" thickBot="1">
      <c r="A48" s="439" t="s">
        <v>1878</v>
      </c>
      <c r="B48" s="440"/>
      <c r="C48" s="441">
        <f>R48</f>
        <v>82130</v>
      </c>
      <c r="D48" s="441"/>
      <c r="E48" s="441"/>
      <c r="F48" s="441"/>
      <c r="G48" s="441"/>
      <c r="H48" s="441"/>
      <c r="I48" s="441"/>
      <c r="J48" s="441"/>
      <c r="K48" s="713"/>
      <c r="L48" s="2715"/>
      <c r="M48" s="2716"/>
      <c r="N48" s="2716"/>
      <c r="O48" s="2716"/>
      <c r="P48" s="3660" t="str">
        <f>A48</f>
        <v>估价对象XX用房的比较价值（楼面单价，元/平方米）</v>
      </c>
      <c r="Q48" s="3661"/>
      <c r="R48" s="3662">
        <f>ROUND(IF(D47="简单平均",AVERAGE(R47:W47),R47*F47+T47*H47+V47*J47),0)</f>
        <v>82130</v>
      </c>
      <c r="S48" s="3662"/>
      <c r="T48" s="3662"/>
      <c r="U48" s="3662"/>
      <c r="V48" s="3662"/>
      <c r="W48" s="3662"/>
      <c r="X48" s="688"/>
      <c r="Y48" s="688"/>
      <c r="Z48" s="688"/>
      <c r="AA48" s="688"/>
      <c r="AB48" s="688"/>
      <c r="AC48" s="688"/>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4" t="s">
        <v>1793</v>
      </c>
      <c r="D51" s="445"/>
      <c r="E51" s="446">
        <f>IF(E46&lt;E47,E47/E46-1,E46/E47-1)</f>
        <v>5.6715751896474709E-2</v>
      </c>
      <c r="F51" s="447" t="str">
        <f>IF(OR(E51&gt;=0.3,E51&lt;=-0.3),"超过30%","")</f>
        <v/>
      </c>
      <c r="G51" s="446">
        <f>IF(G46&lt;G47,G47/G46-1,G46/G47-1)</f>
        <v>8.25745682888539E-2</v>
      </c>
      <c r="H51" s="447" t="str">
        <f>IF(OR(G51&gt;=0.3,G51&lt;=-0.3),"超过30%","")</f>
        <v/>
      </c>
      <c r="I51" s="446">
        <f>IF(I46&lt;I47,I47/I46-1,I46/I47-1)</f>
        <v>8.2582432490325264E-2</v>
      </c>
      <c r="J51" s="447" t="str">
        <f>IF(OR(I51&gt;=0.3,I51&lt;=-0.3),"超过30%","")</f>
        <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4" t="s">
        <v>1794</v>
      </c>
      <c r="D52" s="448"/>
      <c r="E52" s="446">
        <f>IF(E47&lt;G47,G47/E47-1,E47/G47-1)</f>
        <v>0.24873444421008228</v>
      </c>
      <c r="F52" s="447" t="str">
        <f>IF(OR(E52&gt;=0.2,E52&lt;=-0.2),"超过20%","")</f>
        <v>超过20%</v>
      </c>
      <c r="G52" s="446">
        <f>IF(G47&lt;I47,I47/G47-1,G47/I47-1)</f>
        <v>6.0678010816506145E-4</v>
      </c>
      <c r="H52" s="447" t="str">
        <f>IF(OR(G52&gt;=0.2,G52&lt;=-0.2),"超过20%","")</f>
        <v/>
      </c>
      <c r="I52" s="446">
        <f>IF(I47&lt;E47,E47/I47-1,I47/E47-1)</f>
        <v>0.24949215143120962</v>
      </c>
      <c r="J52" s="447" t="str">
        <f>IF(OR(I52&gt;=0.2,I52&lt;=-0.2),"超过20%","")</f>
        <v>超过20%</v>
      </c>
      <c r="K52" s="2721"/>
      <c r="L52" s="2717"/>
      <c r="M52" s="2716"/>
      <c r="N52" s="2716"/>
      <c r="O52" s="2716"/>
      <c r="P52" s="2716"/>
      <c r="Q52" s="2716"/>
      <c r="R52" s="2716"/>
      <c r="S52" s="2716"/>
      <c r="T52" s="2716"/>
      <c r="U52" s="2716"/>
      <c r="V52" s="2716"/>
      <c r="W52" s="2716"/>
      <c r="X52" s="2716"/>
      <c r="Y52" s="2716"/>
      <c r="Z52" s="2716"/>
      <c r="AA52" s="2716"/>
      <c r="AB52" s="2716"/>
      <c r="AC52" s="2716"/>
    </row>
    <row r="53" spans="1:29" s="449" customFormat="1" ht="13.5" customHeight="1">
      <c r="A53" s="2719"/>
      <c r="B53" s="2719"/>
      <c r="C53" s="444" t="s">
        <v>1795</v>
      </c>
      <c r="D53" s="448"/>
      <c r="E53" s="446">
        <f>IF(E46&lt;G46,G46/E46-1,E46/G46-1)</f>
        <v>0.27929213643499362</v>
      </c>
      <c r="F53" s="447" t="str">
        <f>IF(OR(E53&gt;=0.3,E53&lt;=-0.3),"超过30%","")</f>
        <v/>
      </c>
      <c r="G53" s="446">
        <f>IF(G46&lt;I46,I46/G46-1,G46/I46-1)</f>
        <v>6.1404886686555749E-4</v>
      </c>
      <c r="H53" s="447" t="str">
        <f>IF(OR(G53&gt;=0.3,G53&lt;=-0.3),"超过30%","")</f>
        <v/>
      </c>
      <c r="I53" s="446">
        <f>IF(I46&lt;E46,E46/I46-1,I46/E46-1)</f>
        <v>0.28007768432176161</v>
      </c>
      <c r="J53" s="447" t="str">
        <f>IF(OR(I53&gt;=0.3,I53&lt;=-0.3),"超过30%","")</f>
        <v/>
      </c>
      <c r="K53" s="2724"/>
      <c r="L53" s="2718"/>
      <c r="M53" s="2719"/>
      <c r="N53" s="2719"/>
      <c r="O53" s="2719"/>
      <c r="P53" s="2719"/>
      <c r="Q53" s="2719"/>
      <c r="R53" s="2719"/>
      <c r="S53" s="2719"/>
      <c r="T53" s="2719"/>
      <c r="U53" s="2719"/>
      <c r="V53" s="2719"/>
      <c r="W53" s="2719"/>
      <c r="X53" s="2719"/>
      <c r="Y53" s="2719"/>
      <c r="Z53" s="2719"/>
      <c r="AA53" s="2719"/>
      <c r="AB53" s="2719"/>
      <c r="AC53" s="2719"/>
    </row>
    <row r="54" spans="1:29" s="449" customFormat="1" ht="15" thickBot="1">
      <c r="A54" s="2719"/>
      <c r="B54" s="2722"/>
      <c r="C54" s="691"/>
      <c r="D54" s="689"/>
      <c r="E54" s="689"/>
      <c r="F54" s="689"/>
      <c r="G54" s="689"/>
      <c r="H54" s="689"/>
      <c r="I54" s="689"/>
      <c r="J54" s="689"/>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30" t="s">
        <v>1879</v>
      </c>
      <c r="B55" s="631" t="s">
        <v>1880</v>
      </c>
      <c r="C55" s="1977" t="s">
        <v>1881</v>
      </c>
      <c r="D55" s="1978" t="s">
        <v>1882</v>
      </c>
      <c r="E55" s="632" t="s">
        <v>1883</v>
      </c>
      <c r="F55" s="888" t="s">
        <v>1884</v>
      </c>
      <c r="G55" s="3663" t="s">
        <v>1885</v>
      </c>
      <c r="H55" s="3664"/>
      <c r="I55" s="135" t="s">
        <v>1886</v>
      </c>
      <c r="J55" s="1979">
        <f>项目基本情况!F35</f>
        <v>0</v>
      </c>
      <c r="K55" s="1980" t="s">
        <v>1887</v>
      </c>
      <c r="L55" s="2717"/>
      <c r="M55" s="2716"/>
      <c r="N55" s="2716"/>
      <c r="O55" s="2716"/>
      <c r="P55" s="2716"/>
      <c r="Q55" s="2716"/>
      <c r="R55" s="2716"/>
      <c r="S55" s="2716"/>
      <c r="T55" s="2716"/>
      <c r="U55" s="2716"/>
      <c r="V55" s="2716"/>
      <c r="W55" s="2716"/>
      <c r="X55" s="2716"/>
      <c r="Y55" s="2716"/>
      <c r="Z55" s="2716"/>
      <c r="AA55" s="2716"/>
      <c r="AB55" s="2716"/>
      <c r="AC55" s="2716"/>
    </row>
    <row r="56" spans="1:29" s="638" customFormat="1">
      <c r="A56" s="634" t="s">
        <v>1888</v>
      </c>
      <c r="B56" s="635">
        <f>C48</f>
        <v>82130</v>
      </c>
      <c r="C56" s="636">
        <v>1</v>
      </c>
      <c r="D56" s="942">
        <v>1</v>
      </c>
      <c r="E56" s="636">
        <f>'数据-汇总表'!E8+'数据-汇总表'!E9</f>
        <v>62293.630000000019</v>
      </c>
      <c r="F56" s="884">
        <f t="shared" ref="F56:F64" si="15">ROUND(B56*E56/10000,0)</f>
        <v>511618</v>
      </c>
      <c r="G56" s="3665"/>
      <c r="H56" s="3666"/>
      <c r="I56" s="889">
        <v>1</v>
      </c>
      <c r="J56" s="892">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38" customFormat="1">
      <c r="A57" s="639" t="s">
        <v>1889</v>
      </c>
      <c r="B57" s="218">
        <f>ROUND($C$48*C57*D57,0)</f>
        <v>12320</v>
      </c>
      <c r="C57" s="171">
        <f t="shared" ref="C57:C64" si="16">IF($C$55="北京市系数",I57,J57)</f>
        <v>0.6</v>
      </c>
      <c r="D57" s="943">
        <v>0.25</v>
      </c>
      <c r="E57" s="640"/>
      <c r="F57" s="884">
        <f t="shared" si="15"/>
        <v>0</v>
      </c>
      <c r="G57" s="2997" t="s">
        <v>1890</v>
      </c>
      <c r="H57" s="885" t="str">
        <f>项目基本情况!B37</f>
        <v>六级</v>
      </c>
      <c r="I57" s="889">
        <f>SUMIF(修正!A57:A68,H57,修正!B57:B68)</f>
        <v>0.6</v>
      </c>
      <c r="J57" s="893"/>
      <c r="K57" s="2716"/>
      <c r="L57" s="2773"/>
      <c r="M57" s="2773"/>
      <c r="N57" s="2773"/>
      <c r="O57" s="2773"/>
      <c r="P57" s="2773"/>
      <c r="Q57" s="2773"/>
      <c r="R57" s="2773"/>
      <c r="S57" s="2773"/>
      <c r="T57" s="2773"/>
      <c r="U57" s="2773"/>
      <c r="V57" s="2773"/>
      <c r="W57" s="2773"/>
      <c r="X57" s="2773"/>
      <c r="Y57" s="2773"/>
      <c r="Z57" s="2773"/>
      <c r="AA57" s="2773"/>
      <c r="AB57" s="2773"/>
      <c r="AC57" s="2773"/>
    </row>
    <row r="58" spans="1:29" s="638" customFormat="1">
      <c r="A58" s="639" t="s">
        <v>1891</v>
      </c>
      <c r="B58" s="218">
        <f t="shared" ref="B58:B64" si="17">ROUND($C$48*C58*D58,0)</f>
        <v>6160</v>
      </c>
      <c r="C58" s="171">
        <f t="shared" si="16"/>
        <v>0.3</v>
      </c>
      <c r="D58" s="943">
        <v>0.25</v>
      </c>
      <c r="E58" s="640"/>
      <c r="F58" s="884">
        <f t="shared" si="15"/>
        <v>0</v>
      </c>
      <c r="G58" s="2998"/>
      <c r="H58" s="885" t="str">
        <f>项目基本情况!B37</f>
        <v>六级</v>
      </c>
      <c r="I58" s="889">
        <f>SUMIF(修正!A57:A68,H58,修正!C57:C68)</f>
        <v>0.3</v>
      </c>
      <c r="J58" s="893"/>
      <c r="K58" s="2719"/>
      <c r="L58" s="2773"/>
      <c r="M58" s="2773"/>
      <c r="N58" s="2773"/>
      <c r="O58" s="2773"/>
      <c r="P58" s="2773"/>
      <c r="Q58" s="2773"/>
      <c r="R58" s="2773"/>
      <c r="S58" s="2773"/>
      <c r="T58" s="2773"/>
      <c r="U58" s="2773"/>
      <c r="V58" s="2773"/>
      <c r="W58" s="2773"/>
      <c r="X58" s="2773"/>
      <c r="Y58" s="2773"/>
      <c r="Z58" s="2773"/>
      <c r="AA58" s="2773"/>
      <c r="AB58" s="2773"/>
      <c r="AC58" s="2773"/>
    </row>
    <row r="59" spans="1:29" s="638" customFormat="1">
      <c r="A59" s="639" t="s">
        <v>1892</v>
      </c>
      <c r="B59" s="218">
        <f t="shared" si="17"/>
        <v>5133</v>
      </c>
      <c r="C59" s="171">
        <f t="shared" si="16"/>
        <v>0.25</v>
      </c>
      <c r="D59" s="943">
        <v>0.25</v>
      </c>
      <c r="E59" s="640"/>
      <c r="F59" s="884">
        <f t="shared" si="15"/>
        <v>0</v>
      </c>
      <c r="G59" s="2998"/>
      <c r="H59" s="885" t="str">
        <f>项目基本情况!B37</f>
        <v>六级</v>
      </c>
      <c r="I59" s="889">
        <f>SUMIF(修正!A57:A68,H59,修正!D57:D68)</f>
        <v>0.25</v>
      </c>
      <c r="J59" s="893"/>
      <c r="K59" s="2716"/>
      <c r="L59" s="2773"/>
      <c r="M59" s="2773"/>
      <c r="N59" s="2773"/>
      <c r="O59" s="2773"/>
      <c r="P59" s="2773"/>
      <c r="Q59" s="2773"/>
      <c r="R59" s="2773"/>
      <c r="S59" s="2773"/>
      <c r="T59" s="2773"/>
      <c r="U59" s="2773"/>
      <c r="V59" s="2773"/>
      <c r="W59" s="2773"/>
      <c r="X59" s="2773"/>
      <c r="Y59" s="2773"/>
      <c r="Z59" s="2773"/>
      <c r="AA59" s="2773"/>
      <c r="AB59" s="2773"/>
      <c r="AC59" s="2773"/>
    </row>
    <row r="60" spans="1:29" s="638" customFormat="1">
      <c r="A60" s="639" t="s">
        <v>1893</v>
      </c>
      <c r="B60" s="218">
        <f t="shared" si="17"/>
        <v>5133</v>
      </c>
      <c r="C60" s="171">
        <f t="shared" si="16"/>
        <v>0.25</v>
      </c>
      <c r="D60" s="943">
        <v>0.25</v>
      </c>
      <c r="E60" s="217">
        <f>'数据-汇总表'!E11</f>
        <v>0</v>
      </c>
      <c r="F60" s="884">
        <f t="shared" si="15"/>
        <v>0</v>
      </c>
      <c r="G60" s="1981" t="s">
        <v>1894</v>
      </c>
      <c r="H60" s="885" t="str">
        <f>项目基本情况!C37</f>
        <v>六级</v>
      </c>
      <c r="I60" s="889">
        <f>SUMIF(修正!A57:A68,H60,修正!E57:E68)</f>
        <v>0.25</v>
      </c>
      <c r="J60" s="893"/>
      <c r="K60" s="2716"/>
      <c r="L60" s="2773"/>
      <c r="M60" s="2773"/>
      <c r="N60" s="2773"/>
      <c r="O60" s="2773"/>
      <c r="P60" s="2773"/>
      <c r="Q60" s="2773"/>
      <c r="R60" s="2773"/>
      <c r="S60" s="2773"/>
      <c r="T60" s="2773"/>
      <c r="U60" s="2773"/>
      <c r="V60" s="2773"/>
      <c r="W60" s="2773"/>
      <c r="X60" s="2773"/>
      <c r="Y60" s="2773"/>
      <c r="Z60" s="2773"/>
      <c r="AA60" s="2773"/>
      <c r="AB60" s="2773"/>
      <c r="AC60" s="2773"/>
    </row>
    <row r="61" spans="1:29" s="638" customFormat="1">
      <c r="A61" s="639" t="s">
        <v>1895</v>
      </c>
      <c r="B61" s="218">
        <f t="shared" si="17"/>
        <v>5133</v>
      </c>
      <c r="C61" s="171">
        <f t="shared" si="16"/>
        <v>0.25</v>
      </c>
      <c r="D61" s="943">
        <v>0.25</v>
      </c>
      <c r="E61" s="217">
        <f>'数据-汇总表'!E12</f>
        <v>21052.319999999996</v>
      </c>
      <c r="F61" s="884">
        <f t="shared" si="15"/>
        <v>10806</v>
      </c>
      <c r="G61" s="890" t="s">
        <v>1896</v>
      </c>
      <c r="H61" s="885" t="str">
        <f>IF(G61="商业",项目基本情况!B37,IF(G61="办公",项目基本情况!C37,IF(G61="住宅",项目基本情况!D37,项目基本情况!E37)))</f>
        <v>六级</v>
      </c>
      <c r="I61" s="889">
        <f>SUMIF(修正!A57:A68,H61,修正!F57:F68)</f>
        <v>0.25</v>
      </c>
      <c r="J61" s="893"/>
      <c r="K61" s="2719"/>
      <c r="L61" s="2773"/>
      <c r="M61" s="2773"/>
      <c r="N61" s="2773"/>
      <c r="O61" s="2773"/>
      <c r="P61" s="2773"/>
      <c r="Q61" s="2773"/>
      <c r="R61" s="2773"/>
      <c r="S61" s="2773"/>
      <c r="T61" s="2773"/>
      <c r="U61" s="2773"/>
      <c r="V61" s="2773"/>
      <c r="W61" s="2773"/>
      <c r="X61" s="2773"/>
      <c r="Y61" s="2773"/>
      <c r="Z61" s="2773"/>
      <c r="AA61" s="2773"/>
      <c r="AB61" s="2773"/>
      <c r="AC61" s="2773"/>
    </row>
    <row r="62" spans="1:29" s="638" customFormat="1">
      <c r="A62" s="639" t="s">
        <v>1897</v>
      </c>
      <c r="B62" s="218">
        <f t="shared" si="17"/>
        <v>3080</v>
      </c>
      <c r="C62" s="171">
        <f t="shared" si="16"/>
        <v>0.15</v>
      </c>
      <c r="D62" s="943">
        <v>0.25</v>
      </c>
      <c r="E62" s="217">
        <f>'数据-汇总表'!E13</f>
        <v>21761.329999999823</v>
      </c>
      <c r="F62" s="884">
        <f t="shared" si="15"/>
        <v>6702</v>
      </c>
      <c r="G62" s="890" t="s">
        <v>1898</v>
      </c>
      <c r="H62" s="885" t="str">
        <f>IF(G62="商业",项目基本情况!B37,IF(G62="办公",项目基本情况!C37,IF(G62="住宅",项目基本情况!D37,项目基本情况!E37)))</f>
        <v>六级</v>
      </c>
      <c r="I62" s="889">
        <f>SUMIF(修正!A57:A68,H62,修正!G57:G68)</f>
        <v>0.15</v>
      </c>
      <c r="J62" s="893"/>
      <c r="K62" s="2716"/>
      <c r="L62" s="2773"/>
      <c r="M62" s="2773"/>
      <c r="N62" s="2773"/>
      <c r="O62" s="2773"/>
      <c r="P62" s="2773"/>
      <c r="Q62" s="2773"/>
      <c r="R62" s="2773"/>
      <c r="S62" s="2773"/>
      <c r="T62" s="2773"/>
      <c r="U62" s="2773"/>
      <c r="V62" s="2773"/>
      <c r="W62" s="2773"/>
      <c r="X62" s="2773"/>
      <c r="Y62" s="2773"/>
      <c r="Z62" s="2773"/>
      <c r="AA62" s="2773"/>
      <c r="AB62" s="2773"/>
      <c r="AC62" s="2773"/>
    </row>
    <row r="63" spans="1:29" s="638" customFormat="1">
      <c r="A63" s="639" t="s">
        <v>1899</v>
      </c>
      <c r="B63" s="218">
        <f t="shared" si="17"/>
        <v>3080</v>
      </c>
      <c r="C63" s="171">
        <f t="shared" si="16"/>
        <v>0.15</v>
      </c>
      <c r="D63" s="943">
        <v>0.25</v>
      </c>
      <c r="E63" s="217">
        <f>'数据-汇总表'!E14</f>
        <v>0</v>
      </c>
      <c r="F63" s="884">
        <f t="shared" si="15"/>
        <v>0</v>
      </c>
      <c r="G63" s="1981" t="s">
        <v>1890</v>
      </c>
      <c r="H63" s="885" t="str">
        <f>项目基本情况!B37</f>
        <v>六级</v>
      </c>
      <c r="I63" s="889">
        <f>SUMIF(修正!A57:A68,H63,修正!G57:G68)</f>
        <v>0.15</v>
      </c>
      <c r="J63" s="893"/>
      <c r="K63" s="2719"/>
      <c r="L63" s="2773"/>
      <c r="M63" s="2773"/>
      <c r="N63" s="2773"/>
      <c r="O63" s="2773"/>
      <c r="P63" s="2773"/>
      <c r="Q63" s="2773"/>
      <c r="R63" s="2773"/>
      <c r="S63" s="2773"/>
      <c r="T63" s="2773"/>
      <c r="U63" s="2773"/>
      <c r="V63" s="2773"/>
      <c r="W63" s="2773"/>
      <c r="X63" s="2773"/>
      <c r="Y63" s="2773"/>
      <c r="Z63" s="2773"/>
      <c r="AA63" s="2773"/>
      <c r="AB63" s="2773"/>
      <c r="AC63" s="2773"/>
    </row>
    <row r="64" spans="1:29" s="638" customFormat="1" ht="15" thickBot="1">
      <c r="A64" s="639" t="s">
        <v>1900</v>
      </c>
      <c r="B64" s="218">
        <f t="shared" si="17"/>
        <v>3080</v>
      </c>
      <c r="C64" s="171">
        <f t="shared" si="16"/>
        <v>0.15</v>
      </c>
      <c r="D64" s="943">
        <v>0.25</v>
      </c>
      <c r="E64" s="217">
        <f>'数据-汇总表'!E15</f>
        <v>0</v>
      </c>
      <c r="F64" s="884">
        <f t="shared" si="15"/>
        <v>0</v>
      </c>
      <c r="G64" s="1982" t="s">
        <v>1894</v>
      </c>
      <c r="H64" s="895" t="str">
        <f>项目基本情况!C37</f>
        <v>六级</v>
      </c>
      <c r="I64" s="891">
        <f>SUMIF(修正!A57:A68,H64,修正!G57:G68)</f>
        <v>0.15</v>
      </c>
      <c r="J64" s="894"/>
      <c r="K64" s="2716"/>
      <c r="L64" s="2773"/>
      <c r="M64" s="2773"/>
      <c r="N64" s="2773"/>
      <c r="O64" s="2773"/>
      <c r="P64" s="2773"/>
      <c r="Q64" s="2773"/>
      <c r="R64" s="2773"/>
      <c r="S64" s="2773"/>
      <c r="T64" s="2773"/>
      <c r="U64" s="2773"/>
      <c r="V64" s="2773"/>
      <c r="W64" s="2773"/>
      <c r="X64" s="2773"/>
      <c r="Y64" s="2773"/>
      <c r="Z64" s="2773"/>
      <c r="AA64" s="2773"/>
      <c r="AB64" s="2773"/>
      <c r="AC64" s="2773"/>
    </row>
    <row r="65" spans="1:29" s="638" customFormat="1" ht="13.5" thickBot="1">
      <c r="A65" s="641" t="s">
        <v>1901</v>
      </c>
      <c r="B65" s="642" t="s">
        <v>22</v>
      </c>
      <c r="C65" s="642" t="s">
        <v>23</v>
      </c>
      <c r="D65" s="642" t="s">
        <v>392</v>
      </c>
      <c r="E65" s="642">
        <f>IF(B46="楼面地价",SUM(E56:E64),'数据-汇总表'!D3)</f>
        <v>105107.27999999984</v>
      </c>
      <c r="F65" s="643">
        <f>IF(B46="楼面地价",SUM(F56:F64),ROUND(C48*E65/10000,0))</f>
        <v>529126</v>
      </c>
      <c r="G65" s="715"/>
      <c r="H65" s="715"/>
      <c r="I65" s="715"/>
      <c r="J65" s="715"/>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88"/>
      <c r="B66" s="690"/>
      <c r="C66" s="691"/>
      <c r="D66" s="688"/>
      <c r="E66" s="688"/>
      <c r="F66" s="688"/>
      <c r="G66" s="688"/>
      <c r="H66" s="688"/>
      <c r="I66" s="688"/>
      <c r="J66" s="925"/>
      <c r="K66" s="886"/>
      <c r="L66" s="887"/>
      <c r="M66" s="925"/>
      <c r="N66" s="925"/>
      <c r="O66" s="925"/>
      <c r="P66" s="2716"/>
      <c r="Q66" s="2716"/>
      <c r="R66" s="2716"/>
      <c r="S66" s="2716"/>
      <c r="T66" s="2716"/>
      <c r="U66" s="2716"/>
      <c r="V66" s="2716"/>
      <c r="W66" s="2716"/>
      <c r="X66" s="2716"/>
      <c r="Y66" s="2716"/>
      <c r="Z66" s="2716"/>
      <c r="AA66" s="2716"/>
      <c r="AB66" s="2716"/>
      <c r="AC66" s="2716"/>
    </row>
    <row r="67" spans="1:29">
      <c r="A67" s="688"/>
      <c r="B67" s="690"/>
      <c r="C67" s="690" t="str">
        <f>YEAR(C7)&amp;"-"&amp;MONTH(C7)&amp;"-1"</f>
        <v>2024-10-1</v>
      </c>
      <c r="D67" s="690">
        <f>EDATE(C67,-3)</f>
        <v>45474</v>
      </c>
      <c r="E67" s="690">
        <f>EDATE(D67,-3)</f>
        <v>45383</v>
      </c>
      <c r="F67" s="690">
        <f t="shared" ref="F67:O67" si="18">EDATE(E67,-3)</f>
        <v>45292</v>
      </c>
      <c r="G67" s="690">
        <f t="shared" si="18"/>
        <v>45200</v>
      </c>
      <c r="H67" s="690">
        <f t="shared" si="18"/>
        <v>45108</v>
      </c>
      <c r="I67" s="690">
        <f t="shared" si="18"/>
        <v>45017</v>
      </c>
      <c r="J67" s="690">
        <f t="shared" si="18"/>
        <v>44927</v>
      </c>
      <c r="K67" s="690">
        <f t="shared" si="18"/>
        <v>44835</v>
      </c>
      <c r="L67" s="690">
        <f t="shared" si="18"/>
        <v>44743</v>
      </c>
      <c r="M67" s="690">
        <f t="shared" si="18"/>
        <v>44652</v>
      </c>
      <c r="N67" s="690">
        <f t="shared" si="18"/>
        <v>44562</v>
      </c>
      <c r="O67" s="690">
        <f t="shared" si="18"/>
        <v>44470</v>
      </c>
      <c r="P67" s="2716"/>
      <c r="Q67" s="2716"/>
      <c r="R67" s="2716"/>
      <c r="S67" s="2716"/>
      <c r="T67" s="2716"/>
      <c r="U67" s="2716"/>
      <c r="V67" s="2716"/>
      <c r="W67" s="2716"/>
      <c r="X67" s="2716"/>
      <c r="Y67" s="2716"/>
      <c r="Z67" s="2716"/>
      <c r="AA67" s="2716"/>
      <c r="AB67" s="2716"/>
      <c r="AC67" s="2716"/>
    </row>
    <row r="68" spans="1:29" ht="21.75" thickBot="1">
      <c r="A68" s="692" t="s">
        <v>1796</v>
      </c>
      <c r="B68" s="688"/>
      <c r="C68" s="693"/>
      <c r="D68" s="693"/>
      <c r="E68" s="693"/>
      <c r="F68" s="694"/>
      <c r="G68" s="694"/>
      <c r="H68" s="693"/>
      <c r="I68" s="693"/>
      <c r="J68" s="938"/>
      <c r="K68" s="939"/>
      <c r="L68" s="940"/>
      <c r="M68" s="938"/>
      <c r="N68" s="2760"/>
      <c r="O68" s="2760"/>
      <c r="P68" s="2760"/>
      <c r="Q68" s="2730"/>
      <c r="R68" s="2716"/>
      <c r="S68" s="2716"/>
      <c r="T68" s="2716"/>
      <c r="U68" s="2716"/>
      <c r="V68" s="2716"/>
      <c r="W68" s="2716"/>
      <c r="X68" s="2716"/>
      <c r="Y68" s="2716"/>
      <c r="Z68" s="2716"/>
      <c r="AA68" s="2716"/>
      <c r="AB68" s="2716"/>
      <c r="AC68" s="2716"/>
    </row>
    <row r="69" spans="1:29" s="455" customFormat="1" ht="15">
      <c r="A69" s="1983" t="s">
        <v>1902</v>
      </c>
      <c r="B69" s="1107"/>
      <c r="C69" s="1179" t="str">
        <f>YEAR(C67)&amp;"-"&amp;ROUNDUP(MONTH(C67)/3,0)</f>
        <v>2024-4</v>
      </c>
      <c r="D69" s="1179" t="str">
        <f>YEAR(D67)&amp;"-"&amp;ROUNDUP(MONTH(D67)/3,0)</f>
        <v>2024-3</v>
      </c>
      <c r="E69" s="1179" t="str">
        <f t="shared" ref="E69:O69" si="19">YEAR(E67)&amp;"-"&amp;ROUNDUP(MONTH(E67)/3,0)</f>
        <v>2024-2</v>
      </c>
      <c r="F69" s="1179" t="str">
        <f t="shared" si="19"/>
        <v>2024-1</v>
      </c>
      <c r="G69" s="1179" t="str">
        <f t="shared" si="19"/>
        <v>2023-4</v>
      </c>
      <c r="H69" s="1179" t="str">
        <f t="shared" si="19"/>
        <v>2023-3</v>
      </c>
      <c r="I69" s="1179" t="str">
        <f t="shared" si="19"/>
        <v>2023-2</v>
      </c>
      <c r="J69" s="1179" t="str">
        <f t="shared" si="19"/>
        <v>2023-1</v>
      </c>
      <c r="K69" s="1179" t="str">
        <f t="shared" si="19"/>
        <v>2022-4</v>
      </c>
      <c r="L69" s="1179" t="str">
        <f t="shared" si="19"/>
        <v>2022-3</v>
      </c>
      <c r="M69" s="1179" t="str">
        <f t="shared" si="19"/>
        <v>2022-2</v>
      </c>
      <c r="N69" s="1179" t="str">
        <f t="shared" si="19"/>
        <v>2022-1</v>
      </c>
      <c r="O69" s="1179" t="str">
        <f t="shared" si="19"/>
        <v>2021-4</v>
      </c>
      <c r="P69" s="2767" t="s">
        <v>3829</v>
      </c>
      <c r="Q69" s="2732" t="s">
        <v>3830</v>
      </c>
      <c r="R69" s="2732" t="s">
        <v>3831</v>
      </c>
      <c r="S69" s="2732" t="s">
        <v>3832</v>
      </c>
      <c r="T69" s="2732" t="s">
        <v>3833</v>
      </c>
      <c r="U69" s="2732" t="s">
        <v>3834</v>
      </c>
      <c r="V69" s="2732" t="s">
        <v>3835</v>
      </c>
      <c r="W69" s="2732"/>
      <c r="X69" s="2732"/>
      <c r="Y69" s="2732"/>
      <c r="Z69" s="2732"/>
      <c r="AA69" s="2732"/>
      <c r="AB69" s="2732"/>
      <c r="AC69" s="2732"/>
    </row>
    <row r="70" spans="1:29" s="108" customFormat="1" ht="30" customHeight="1">
      <c r="A70" s="1984" t="s">
        <v>1903</v>
      </c>
      <c r="B70" s="288" t="str">
        <f>"北京市平均增长率"&amp;TEXT(SUMIF(基准地价修正!N25:N29,A70,基准地价修正!P25:P29),"0.00%")</f>
        <v>北京市平均增长率0.00%</v>
      </c>
      <c r="C70" s="550">
        <v>100</v>
      </c>
      <c r="D70" s="542">
        <f>C70-0.4</f>
        <v>99.6</v>
      </c>
      <c r="E70" s="542">
        <f t="shared" ref="E70:V70" si="20">D70-0.4</f>
        <v>99.199999999999989</v>
      </c>
      <c r="F70" s="542">
        <f t="shared" si="20"/>
        <v>98.799999999999983</v>
      </c>
      <c r="G70" s="542">
        <f t="shared" si="20"/>
        <v>98.399999999999977</v>
      </c>
      <c r="H70" s="542">
        <f t="shared" si="20"/>
        <v>97.999999999999972</v>
      </c>
      <c r="I70" s="542">
        <f t="shared" si="20"/>
        <v>97.599999999999966</v>
      </c>
      <c r="J70" s="542">
        <f t="shared" si="20"/>
        <v>97.19999999999996</v>
      </c>
      <c r="K70" s="542">
        <f t="shared" si="20"/>
        <v>96.799999999999955</v>
      </c>
      <c r="L70" s="542">
        <f t="shared" si="20"/>
        <v>96.399999999999949</v>
      </c>
      <c r="M70" s="542">
        <f t="shared" si="20"/>
        <v>95.999999999999943</v>
      </c>
      <c r="N70" s="542">
        <f t="shared" si="20"/>
        <v>95.599999999999937</v>
      </c>
      <c r="O70" s="542">
        <f t="shared" si="20"/>
        <v>95.199999999999932</v>
      </c>
      <c r="P70" s="542">
        <f t="shared" si="20"/>
        <v>94.799999999999926</v>
      </c>
      <c r="Q70" s="542">
        <f t="shared" si="20"/>
        <v>94.39999999999992</v>
      </c>
      <c r="R70" s="542">
        <f t="shared" si="20"/>
        <v>93.999999999999915</v>
      </c>
      <c r="S70" s="542">
        <f t="shared" si="20"/>
        <v>93.599999999999909</v>
      </c>
      <c r="T70" s="542">
        <f t="shared" si="20"/>
        <v>93.199999999999903</v>
      </c>
      <c r="U70" s="542">
        <f t="shared" si="20"/>
        <v>92.799999999999898</v>
      </c>
      <c r="V70" s="542">
        <f t="shared" si="20"/>
        <v>92.399999999999892</v>
      </c>
      <c r="W70" s="2652"/>
      <c r="X70" s="2652"/>
      <c r="Y70" s="2652"/>
      <c r="Z70" s="2652"/>
      <c r="AA70" s="2652"/>
      <c r="AB70" s="2652"/>
      <c r="AC70" s="2652"/>
    </row>
    <row r="71" spans="1:29" s="108" customFormat="1" ht="15.75" thickBot="1">
      <c r="A71" s="462" t="s">
        <v>1714</v>
      </c>
      <c r="B71" s="463"/>
      <c r="C71" s="464"/>
      <c r="D71" s="465"/>
      <c r="E71" s="465"/>
      <c r="F71" s="465"/>
      <c r="G71" s="465"/>
      <c r="H71" s="465"/>
      <c r="I71" s="465"/>
      <c r="J71" s="465"/>
      <c r="K71" s="465"/>
      <c r="L71" s="465"/>
      <c r="M71" s="466"/>
      <c r="N71" s="465"/>
      <c r="O71" s="941"/>
      <c r="P71" s="2730"/>
      <c r="Q71" s="2730"/>
      <c r="R71" s="2652"/>
      <c r="S71" s="2652"/>
      <c r="T71" s="2652"/>
      <c r="U71" s="2652"/>
      <c r="V71" s="2652"/>
      <c r="W71" s="2652"/>
      <c r="X71" s="2652"/>
      <c r="Y71" s="2652"/>
      <c r="Z71" s="2652"/>
      <c r="AA71" s="2652"/>
      <c r="AB71" s="2652"/>
      <c r="AC71" s="2652"/>
    </row>
    <row r="72" spans="1:29" s="108" customFormat="1" ht="15">
      <c r="A72" s="468" t="s">
        <v>1679</v>
      </c>
      <c r="B72" s="457"/>
      <c r="C72" s="469" t="s">
        <v>1774</v>
      </c>
      <c r="D72" s="470"/>
      <c r="E72" s="470"/>
      <c r="F72" s="470"/>
      <c r="G72" s="470"/>
      <c r="H72" s="470"/>
      <c r="I72" s="470"/>
      <c r="J72" s="470"/>
      <c r="K72" s="470"/>
      <c r="L72" s="471"/>
      <c r="M72" s="472"/>
      <c r="N72" s="2743"/>
      <c r="O72" s="2743"/>
      <c r="P72" s="2768"/>
      <c r="Q72" s="2730"/>
      <c r="R72" s="2652"/>
      <c r="S72" s="2652"/>
      <c r="T72" s="2652"/>
      <c r="U72" s="2652"/>
      <c r="V72" s="2652"/>
      <c r="W72" s="2652"/>
      <c r="X72" s="2652"/>
      <c r="Y72" s="2652"/>
      <c r="Z72" s="2652"/>
      <c r="AA72" s="2652"/>
      <c r="AB72" s="2652"/>
      <c r="AC72" s="2652"/>
    </row>
    <row r="73" spans="1:29" s="108" customFormat="1" ht="15.75" thickBot="1">
      <c r="A73" s="468"/>
      <c r="B73" s="457"/>
      <c r="C73" s="585">
        <v>100</v>
      </c>
      <c r="D73" s="459"/>
      <c r="E73" s="459"/>
      <c r="F73" s="459"/>
      <c r="G73" s="459"/>
      <c r="H73" s="459"/>
      <c r="I73" s="459"/>
      <c r="J73" s="459"/>
      <c r="K73" s="459"/>
      <c r="L73" s="459"/>
      <c r="M73" s="461"/>
      <c r="N73" s="2743"/>
      <c r="O73" s="2743"/>
      <c r="P73" s="2730"/>
      <c r="Q73" s="2730"/>
      <c r="R73" s="2652"/>
      <c r="S73" s="2652"/>
      <c r="T73" s="2652"/>
      <c r="U73" s="2652"/>
      <c r="V73" s="2652"/>
      <c r="W73" s="2652"/>
      <c r="X73" s="2652"/>
      <c r="Y73" s="2652"/>
      <c r="Z73" s="2652"/>
      <c r="AA73" s="2652"/>
      <c r="AB73" s="2652"/>
      <c r="AC73" s="2652"/>
    </row>
    <row r="74" spans="1:29">
      <c r="A74" s="474" t="s">
        <v>1717</v>
      </c>
      <c r="B74" s="475" t="s">
        <v>1683</v>
      </c>
      <c r="C74" s="477"/>
      <c r="D74" s="477"/>
      <c r="E74" s="477"/>
      <c r="F74" s="477"/>
      <c r="G74" s="477"/>
      <c r="H74" s="477"/>
      <c r="I74" s="477"/>
      <c r="J74" s="477"/>
      <c r="K74" s="478"/>
      <c r="L74" s="479"/>
      <c r="M74" s="480"/>
      <c r="N74" s="2744"/>
      <c r="O74" s="2744"/>
      <c r="P74" s="2769"/>
      <c r="Q74" s="2730"/>
      <c r="R74" s="2716"/>
      <c r="S74" s="2716"/>
      <c r="T74" s="2716"/>
      <c r="U74" s="2716"/>
      <c r="V74" s="2716"/>
      <c r="W74" s="2716"/>
      <c r="X74" s="2716"/>
      <c r="Y74" s="2716"/>
      <c r="Z74" s="2716"/>
      <c r="AA74" s="2716"/>
      <c r="AB74" s="2716"/>
      <c r="AC74" s="2716"/>
    </row>
    <row r="75" spans="1:29" ht="15.75" thickBot="1">
      <c r="A75" s="481"/>
      <c r="B75" s="482"/>
      <c r="C75" s="483"/>
      <c r="D75" s="483"/>
      <c r="E75" s="483"/>
      <c r="F75" s="483"/>
      <c r="G75" s="483"/>
      <c r="H75" s="483"/>
      <c r="I75" s="483"/>
      <c r="J75" s="483"/>
      <c r="K75" s="483"/>
      <c r="L75" s="483"/>
      <c r="M75" s="484"/>
      <c r="N75" s="2745"/>
      <c r="O75" s="2745"/>
      <c r="P75" s="2769"/>
      <c r="Q75" s="2730"/>
      <c r="R75" s="2716"/>
      <c r="S75" s="2716"/>
      <c r="T75" s="2716"/>
      <c r="U75" s="2716"/>
      <c r="V75" s="2716"/>
      <c r="W75" s="2716"/>
      <c r="X75" s="2716"/>
      <c r="Y75" s="2716"/>
      <c r="Z75" s="2716"/>
      <c r="AA75" s="2716"/>
      <c r="AB75" s="2716"/>
      <c r="AC75" s="2716"/>
    </row>
    <row r="76" spans="1:29" ht="27.75" thickTop="1">
      <c r="A76" s="481"/>
      <c r="B76" s="485" t="s">
        <v>1686</v>
      </c>
      <c r="C76" s="486"/>
      <c r="D76" s="486"/>
      <c r="E76" s="486"/>
      <c r="F76" s="486"/>
      <c r="G76" s="486"/>
      <c r="H76" s="486"/>
      <c r="I76" s="486"/>
      <c r="J76" s="486"/>
      <c r="K76" s="487"/>
      <c r="L76" s="488"/>
      <c r="M76" s="489"/>
      <c r="N76" s="2744"/>
      <c r="O76" s="2744"/>
      <c r="P76" s="2769"/>
      <c r="Q76" s="2730"/>
      <c r="R76" s="2716"/>
      <c r="S76" s="2716"/>
      <c r="T76" s="2716"/>
      <c r="U76" s="2716"/>
      <c r="V76" s="2716"/>
      <c r="W76" s="2716"/>
      <c r="X76" s="2716"/>
      <c r="Y76" s="2716"/>
      <c r="Z76" s="2716"/>
      <c r="AA76" s="2716"/>
      <c r="AB76" s="2716"/>
      <c r="AC76" s="2716"/>
    </row>
    <row r="77" spans="1:29" ht="15.75" thickBot="1">
      <c r="A77" s="481"/>
      <c r="B77" s="490"/>
      <c r="C77" s="491"/>
      <c r="D77" s="491"/>
      <c r="E77" s="491"/>
      <c r="F77" s="491"/>
      <c r="G77" s="491"/>
      <c r="H77" s="491"/>
      <c r="I77" s="491"/>
      <c r="J77" s="491"/>
      <c r="K77" s="491"/>
      <c r="L77" s="491"/>
      <c r="M77" s="492"/>
      <c r="N77" s="2745"/>
      <c r="O77" s="2745"/>
      <c r="P77" s="2769"/>
      <c r="Q77" s="2730"/>
      <c r="R77" s="2716"/>
      <c r="S77" s="2716"/>
      <c r="T77" s="2716"/>
      <c r="U77" s="2716"/>
      <c r="V77" s="2716"/>
      <c r="W77" s="2716"/>
      <c r="X77" s="2716"/>
      <c r="Y77" s="2716"/>
      <c r="Z77" s="2716"/>
      <c r="AA77" s="2716"/>
      <c r="AB77" s="2716"/>
      <c r="AC77" s="2716"/>
    </row>
    <row r="78" spans="1:29" ht="15.75" thickTop="1">
      <c r="A78" s="481"/>
      <c r="B78" s="493" t="s">
        <v>1687</v>
      </c>
      <c r="C78" s="494" t="str">
        <f>C79&amp;"（含）"&amp;"-"&amp;D79</f>
        <v>1（含）-1.2</v>
      </c>
      <c r="D78" s="494" t="str">
        <f t="shared" ref="D78:L78" si="21">D79&amp;"（含）"&amp;"-"&amp;E79</f>
        <v>1.2（含）-1.5</v>
      </c>
      <c r="E78" s="494" t="str">
        <f t="shared" si="21"/>
        <v>1.5（含）-</v>
      </c>
      <c r="F78" s="494" t="str">
        <f t="shared" si="21"/>
        <v>（含）-</v>
      </c>
      <c r="G78" s="494" t="str">
        <f t="shared" si="21"/>
        <v>（含）-</v>
      </c>
      <c r="H78" s="494" t="str">
        <f t="shared" si="21"/>
        <v>（含）-</v>
      </c>
      <c r="I78" s="494" t="str">
        <f t="shared" si="21"/>
        <v>（含）-</v>
      </c>
      <c r="J78" s="494" t="str">
        <f t="shared" si="21"/>
        <v>（含）-</v>
      </c>
      <c r="K78" s="494" t="str">
        <f t="shared" si="21"/>
        <v>（含）-</v>
      </c>
      <c r="L78" s="494" t="str">
        <f t="shared" si="21"/>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1"/>
      <c r="B79" s="495"/>
      <c r="C79" s="496">
        <v>1</v>
      </c>
      <c r="D79" s="496">
        <v>1.2</v>
      </c>
      <c r="E79" s="497">
        <v>1.5</v>
      </c>
      <c r="F79" s="497"/>
      <c r="G79" s="497"/>
      <c r="H79" s="497"/>
      <c r="I79" s="497"/>
      <c r="J79" s="497"/>
      <c r="K79" s="497"/>
      <c r="L79" s="498"/>
      <c r="M79" s="499"/>
      <c r="N79" s="2744"/>
      <c r="O79" s="2744"/>
      <c r="P79" s="2769"/>
      <c r="Q79" s="2730"/>
      <c r="R79" s="2716"/>
      <c r="S79" s="2716"/>
      <c r="T79" s="2716"/>
      <c r="U79" s="2716"/>
      <c r="V79" s="2716"/>
      <c r="W79" s="2716"/>
      <c r="X79" s="2716"/>
      <c r="Y79" s="2716"/>
      <c r="Z79" s="2716"/>
      <c r="AA79" s="2716"/>
      <c r="AB79" s="2716"/>
      <c r="AC79" s="2716"/>
    </row>
    <row r="80" spans="1:29" ht="15.75" thickBot="1">
      <c r="A80" s="481"/>
      <c r="B80" s="482"/>
      <c r="C80" s="491">
        <v>100</v>
      </c>
      <c r="D80" s="491">
        <f t="shared" ref="D80:M80" si="22">IF($B$46="单位面积地价",C80+$K11,C80-$K11)</f>
        <v>99</v>
      </c>
      <c r="E80" s="491">
        <f t="shared" si="22"/>
        <v>98</v>
      </c>
      <c r="F80" s="491">
        <f t="shared" si="22"/>
        <v>97</v>
      </c>
      <c r="G80" s="491">
        <f t="shared" si="22"/>
        <v>96</v>
      </c>
      <c r="H80" s="491">
        <f t="shared" si="22"/>
        <v>95</v>
      </c>
      <c r="I80" s="491">
        <f t="shared" si="22"/>
        <v>94</v>
      </c>
      <c r="J80" s="491">
        <f t="shared" si="22"/>
        <v>93</v>
      </c>
      <c r="K80" s="491">
        <f t="shared" si="22"/>
        <v>92</v>
      </c>
      <c r="L80" s="491">
        <f t="shared" si="22"/>
        <v>91</v>
      </c>
      <c r="M80" s="491">
        <f t="shared" si="22"/>
        <v>90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0"/>
      <c r="B81" s="485" t="str">
        <f>B12</f>
        <v>配建</v>
      </c>
      <c r="C81" s="501"/>
      <c r="D81" s="501"/>
      <c r="E81" s="501"/>
      <c r="F81" s="501"/>
      <c r="G81" s="501"/>
      <c r="H81" s="502"/>
      <c r="I81" s="502"/>
      <c r="J81" s="502"/>
      <c r="K81" s="502"/>
      <c r="L81" s="503"/>
      <c r="M81" s="504"/>
      <c r="N81" s="2746"/>
      <c r="O81" s="2746"/>
      <c r="P81" s="2770"/>
      <c r="Q81" s="2737"/>
      <c r="R81" s="2738"/>
      <c r="S81" s="2738"/>
      <c r="T81" s="2738"/>
      <c r="U81" s="2738"/>
      <c r="V81" s="2738"/>
      <c r="W81" s="2738"/>
      <c r="X81" s="2738"/>
      <c r="Y81" s="2738"/>
      <c r="Z81" s="2738"/>
      <c r="AA81" s="2738"/>
      <c r="AB81" s="2738"/>
      <c r="AC81" s="2738"/>
    </row>
    <row r="82" spans="1:29" s="422" customFormat="1" ht="15.75" thickBot="1">
      <c r="A82" s="500"/>
      <c r="B82" s="490"/>
      <c r="C82" s="507"/>
      <c r="D82" s="483"/>
      <c r="E82" s="483"/>
      <c r="F82" s="483"/>
      <c r="G82" s="483"/>
      <c r="H82" s="483"/>
      <c r="I82" s="483"/>
      <c r="J82" s="483"/>
      <c r="K82" s="483"/>
      <c r="L82" s="483"/>
      <c r="M82" s="484"/>
      <c r="N82" s="2745"/>
      <c r="O82" s="2745"/>
      <c r="P82" s="2770"/>
      <c r="Q82" s="2737"/>
      <c r="R82" s="2738"/>
      <c r="S82" s="2738"/>
      <c r="T82" s="2738"/>
      <c r="U82" s="2738"/>
      <c r="V82" s="2738"/>
      <c r="W82" s="2738"/>
      <c r="X82" s="2738"/>
      <c r="Y82" s="2738"/>
      <c r="Z82" s="2738"/>
      <c r="AA82" s="2738"/>
      <c r="AB82" s="2738"/>
      <c r="AC82" s="2738"/>
    </row>
    <row r="83" spans="1:29" s="422" customFormat="1" ht="15.75" thickTop="1">
      <c r="A83" s="500"/>
      <c r="B83" s="485">
        <f>B13</f>
        <v>111</v>
      </c>
      <c r="C83" s="501"/>
      <c r="D83" s="501"/>
      <c r="E83" s="501"/>
      <c r="F83" s="501"/>
      <c r="G83" s="501"/>
      <c r="H83" s="502"/>
      <c r="I83" s="502"/>
      <c r="J83" s="502"/>
      <c r="K83" s="502"/>
      <c r="L83" s="503"/>
      <c r="M83" s="504"/>
      <c r="N83" s="2746"/>
      <c r="O83" s="2746"/>
      <c r="P83" s="2714"/>
      <c r="Q83" s="2740"/>
      <c r="R83" s="2738"/>
      <c r="S83" s="2738"/>
      <c r="T83" s="2738"/>
      <c r="U83" s="2738"/>
      <c r="V83" s="2738"/>
      <c r="W83" s="2738"/>
      <c r="X83" s="2738"/>
      <c r="Y83" s="2738"/>
      <c r="Z83" s="2738"/>
      <c r="AA83" s="2738"/>
      <c r="AB83" s="2738"/>
      <c r="AC83" s="2738"/>
    </row>
    <row r="84" spans="1:29" s="422" customFormat="1" ht="15.75" thickBot="1">
      <c r="A84" s="500"/>
      <c r="B84" s="490"/>
      <c r="C84" s="507"/>
      <c r="D84" s="507"/>
      <c r="E84" s="507"/>
      <c r="F84" s="507"/>
      <c r="G84" s="507"/>
      <c r="H84" s="509"/>
      <c r="I84" s="509"/>
      <c r="J84" s="509"/>
      <c r="K84" s="509"/>
      <c r="L84" s="509"/>
      <c r="M84" s="510"/>
      <c r="N84" s="2746"/>
      <c r="O84" s="2746"/>
      <c r="P84" s="2770"/>
      <c r="Q84" s="2737"/>
      <c r="R84" s="2738"/>
      <c r="S84" s="2738"/>
      <c r="T84" s="2738"/>
      <c r="U84" s="2738"/>
      <c r="V84" s="2738"/>
      <c r="W84" s="2738"/>
      <c r="X84" s="2738"/>
      <c r="Y84" s="2738"/>
      <c r="Z84" s="2738"/>
      <c r="AA84" s="2738"/>
      <c r="AB84" s="2738"/>
      <c r="AC84" s="2738"/>
    </row>
    <row r="85" spans="1:29" s="422" customFormat="1" ht="15.75" thickTop="1">
      <c r="A85" s="500"/>
      <c r="B85" s="493">
        <f>B14</f>
        <v>111</v>
      </c>
      <c r="C85" s="470"/>
      <c r="D85" s="470"/>
      <c r="E85" s="470"/>
      <c r="F85" s="470"/>
      <c r="G85" s="470"/>
      <c r="H85" s="511"/>
      <c r="I85" s="511"/>
      <c r="J85" s="511"/>
      <c r="K85" s="511"/>
      <c r="L85" s="512"/>
      <c r="M85" s="513"/>
      <c r="N85" s="2746"/>
      <c r="O85" s="2746"/>
      <c r="P85" s="2775"/>
      <c r="Q85" s="2737"/>
      <c r="R85" s="2738"/>
      <c r="S85" s="2738"/>
      <c r="T85" s="2738"/>
      <c r="U85" s="2738"/>
      <c r="V85" s="2738"/>
      <c r="W85" s="2738"/>
      <c r="X85" s="2738"/>
      <c r="Y85" s="2738"/>
      <c r="Z85" s="2738"/>
      <c r="AA85" s="2738"/>
      <c r="AB85" s="2738"/>
      <c r="AC85" s="2738"/>
    </row>
    <row r="86" spans="1:29" s="422" customFormat="1" ht="15.75" thickBot="1">
      <c r="A86" s="515"/>
      <c r="B86" s="516"/>
      <c r="C86" s="517"/>
      <c r="D86" s="517"/>
      <c r="E86" s="517"/>
      <c r="F86" s="517"/>
      <c r="G86" s="517"/>
      <c r="H86" s="518"/>
      <c r="I86" s="518"/>
      <c r="J86" s="518"/>
      <c r="K86" s="518"/>
      <c r="L86" s="518"/>
      <c r="M86" s="519"/>
      <c r="N86" s="2746"/>
      <c r="O86" s="2746"/>
      <c r="P86" s="2770"/>
      <c r="Q86" s="2737"/>
      <c r="R86" s="2738"/>
      <c r="S86" s="2738"/>
      <c r="T86" s="2738"/>
      <c r="U86" s="2738"/>
      <c r="V86" s="2738"/>
      <c r="W86" s="2738"/>
      <c r="X86" s="2738"/>
      <c r="Y86" s="2738"/>
      <c r="Z86" s="2738"/>
      <c r="AA86" s="2738"/>
      <c r="AB86" s="2738"/>
      <c r="AC86" s="2738"/>
    </row>
    <row r="87" spans="1:29">
      <c r="A87" s="474" t="s">
        <v>1688</v>
      </c>
      <c r="B87" s="475" t="s">
        <v>1718</v>
      </c>
      <c r="C87" s="520" t="s">
        <v>1719</v>
      </c>
      <c r="D87" s="520" t="s">
        <v>1720</v>
      </c>
      <c r="E87" s="520" t="s">
        <v>1721</v>
      </c>
      <c r="F87" s="520" t="s">
        <v>1722</v>
      </c>
      <c r="G87" s="520" t="s">
        <v>1723</v>
      </c>
      <c r="H87" s="476"/>
      <c r="I87" s="476"/>
      <c r="J87" s="476"/>
      <c r="K87" s="521"/>
      <c r="L87" s="522"/>
      <c r="M87" s="523"/>
      <c r="N87" s="2744"/>
      <c r="O87" s="2744"/>
      <c r="P87" s="2771"/>
      <c r="Q87" s="2730"/>
      <c r="R87" s="2716"/>
      <c r="S87" s="2716"/>
      <c r="T87" s="2716"/>
      <c r="U87" s="2716"/>
      <c r="V87" s="2716"/>
      <c r="W87" s="2716"/>
      <c r="X87" s="2716"/>
      <c r="Y87" s="2716"/>
      <c r="Z87" s="2716"/>
      <c r="AA87" s="2716"/>
      <c r="AB87" s="2716"/>
      <c r="AC87" s="2716"/>
    </row>
    <row r="88" spans="1:29" ht="15.75" thickBot="1">
      <c r="A88" s="481"/>
      <c r="B88" s="490"/>
      <c r="C88" s="491">
        <v>100</v>
      </c>
      <c r="D88" s="491">
        <f>C88-$K15</f>
        <v>98</v>
      </c>
      <c r="E88" s="491">
        <f>D88-$K15</f>
        <v>96</v>
      </c>
      <c r="F88" s="491">
        <f>E88-$K15</f>
        <v>94</v>
      </c>
      <c r="G88" s="491">
        <f>F88-$K15</f>
        <v>92</v>
      </c>
      <c r="H88" s="491"/>
      <c r="I88" s="491"/>
      <c r="J88" s="491"/>
      <c r="K88" s="491"/>
      <c r="L88" s="491"/>
      <c r="M88" s="492"/>
      <c r="N88" s="2745"/>
      <c r="O88" s="2745"/>
      <c r="P88" s="2769"/>
      <c r="Q88" s="2730"/>
      <c r="R88" s="2716"/>
      <c r="S88" s="2716"/>
      <c r="T88" s="2716"/>
      <c r="U88" s="2716"/>
      <c r="V88" s="2716"/>
      <c r="W88" s="2716"/>
      <c r="X88" s="2716"/>
      <c r="Y88" s="2716"/>
      <c r="Z88" s="2716"/>
      <c r="AA88" s="2716"/>
      <c r="AB88" s="2716"/>
      <c r="AC88" s="2716"/>
    </row>
    <row r="89" spans="1:29" ht="15.75" thickTop="1">
      <c r="A89" s="481"/>
      <c r="B89" s="485" t="s">
        <v>1904</v>
      </c>
      <c r="C89" s="525" t="s">
        <v>1719</v>
      </c>
      <c r="D89" s="525" t="s">
        <v>1720</v>
      </c>
      <c r="E89" s="525" t="s">
        <v>1721</v>
      </c>
      <c r="F89" s="525" t="s">
        <v>1722</v>
      </c>
      <c r="G89" s="525" t="s">
        <v>1723</v>
      </c>
      <c r="H89" s="486"/>
      <c r="I89" s="486"/>
      <c r="J89" s="486"/>
      <c r="K89" s="487"/>
      <c r="L89" s="488"/>
      <c r="M89" s="489"/>
      <c r="N89" s="2744"/>
      <c r="O89" s="2744"/>
      <c r="P89" s="2769"/>
      <c r="Q89" s="2730"/>
      <c r="R89" s="2716"/>
      <c r="S89" s="2716"/>
      <c r="T89" s="2716"/>
      <c r="U89" s="2716"/>
      <c r="V89" s="2716"/>
      <c r="W89" s="2716"/>
      <c r="X89" s="2716"/>
      <c r="Y89" s="2716"/>
      <c r="Z89" s="2716"/>
      <c r="AA89" s="2716"/>
      <c r="AB89" s="2716"/>
      <c r="AC89" s="2716"/>
    </row>
    <row r="90" spans="1:29" ht="15.75" thickBot="1">
      <c r="A90" s="481"/>
      <c r="B90" s="490"/>
      <c r="C90" s="491">
        <v>100</v>
      </c>
      <c r="D90" s="491">
        <f>C90-$K17</f>
        <v>100</v>
      </c>
      <c r="E90" s="491">
        <f>D90-$K17</f>
        <v>100</v>
      </c>
      <c r="F90" s="491">
        <f>E90-$K17</f>
        <v>100</v>
      </c>
      <c r="G90" s="491">
        <f>F90-$K17</f>
        <v>100</v>
      </c>
      <c r="H90" s="491"/>
      <c r="I90" s="491"/>
      <c r="J90" s="491"/>
      <c r="K90" s="491"/>
      <c r="L90" s="491"/>
      <c r="M90" s="492"/>
      <c r="N90" s="2745"/>
      <c r="O90" s="2745"/>
      <c r="P90" s="2769"/>
      <c r="Q90" s="2730"/>
      <c r="R90" s="2716"/>
      <c r="S90" s="2716"/>
      <c r="T90" s="2716"/>
      <c r="U90" s="2716"/>
      <c r="V90" s="2716"/>
      <c r="W90" s="2716"/>
      <c r="X90" s="2716"/>
      <c r="Y90" s="2716"/>
      <c r="Z90" s="2716"/>
      <c r="AA90" s="2716"/>
      <c r="AB90" s="2716"/>
      <c r="AC90" s="2716"/>
    </row>
    <row r="91" spans="1:29" ht="15.75" thickTop="1">
      <c r="A91" s="481"/>
      <c r="B91" s="485" t="s">
        <v>1819</v>
      </c>
      <c r="C91" s="525" t="s">
        <v>1719</v>
      </c>
      <c r="D91" s="525" t="s">
        <v>1720</v>
      </c>
      <c r="E91" s="525" t="s">
        <v>1721</v>
      </c>
      <c r="F91" s="525" t="s">
        <v>1722</v>
      </c>
      <c r="G91" s="525" t="s">
        <v>1723</v>
      </c>
      <c r="H91" s="486"/>
      <c r="I91" s="486"/>
      <c r="J91" s="486"/>
      <c r="K91" s="487"/>
      <c r="L91" s="488"/>
      <c r="M91" s="489"/>
      <c r="N91" s="2744"/>
      <c r="O91" s="2744"/>
      <c r="P91" s="2769"/>
      <c r="Q91" s="2730"/>
      <c r="R91" s="2716"/>
      <c r="S91" s="2716"/>
      <c r="T91" s="2716"/>
      <c r="U91" s="2716"/>
      <c r="V91" s="2716"/>
      <c r="W91" s="2716"/>
      <c r="X91" s="2716"/>
      <c r="Y91" s="2716"/>
      <c r="Z91" s="2716"/>
      <c r="AA91" s="2716"/>
      <c r="AB91" s="2716"/>
      <c r="AC91" s="2716"/>
    </row>
    <row r="92" spans="1:29" ht="15.75" thickBot="1">
      <c r="A92" s="481"/>
      <c r="B92" s="490"/>
      <c r="C92" s="491">
        <v>100</v>
      </c>
      <c r="D92" s="491">
        <f>C92-$K19</f>
        <v>100</v>
      </c>
      <c r="E92" s="491">
        <f>D92-$K19</f>
        <v>100</v>
      </c>
      <c r="F92" s="491">
        <f>E92-$K19</f>
        <v>100</v>
      </c>
      <c r="G92" s="491">
        <f>F92-$K19</f>
        <v>100</v>
      </c>
      <c r="H92" s="491"/>
      <c r="I92" s="491"/>
      <c r="J92" s="491"/>
      <c r="K92" s="491"/>
      <c r="L92" s="491"/>
      <c r="M92" s="492"/>
      <c r="N92" s="2745"/>
      <c r="O92" s="2745"/>
      <c r="P92" s="2769"/>
      <c r="Q92" s="2730"/>
      <c r="R92" s="2716"/>
      <c r="S92" s="2716"/>
      <c r="T92" s="2716"/>
      <c r="U92" s="2716"/>
      <c r="V92" s="2716"/>
      <c r="W92" s="2716"/>
      <c r="X92" s="2716"/>
      <c r="Y92" s="2716"/>
      <c r="Z92" s="2716"/>
      <c r="AA92" s="2716"/>
      <c r="AB92" s="2716"/>
      <c r="AC92" s="2716"/>
    </row>
    <row r="93" spans="1:29" ht="15.75" thickTop="1">
      <c r="A93" s="481"/>
      <c r="B93" s="485" t="s">
        <v>1724</v>
      </c>
      <c r="C93" s="525" t="s">
        <v>1719</v>
      </c>
      <c r="D93" s="525" t="s">
        <v>1720</v>
      </c>
      <c r="E93" s="525" t="s">
        <v>1721</v>
      </c>
      <c r="F93" s="525" t="s">
        <v>1722</v>
      </c>
      <c r="G93" s="525" t="s">
        <v>1723</v>
      </c>
      <c r="H93" s="486"/>
      <c r="I93" s="486"/>
      <c r="J93" s="486"/>
      <c r="K93" s="487"/>
      <c r="L93" s="488"/>
      <c r="M93" s="489"/>
      <c r="N93" s="2744"/>
      <c r="O93" s="2744"/>
      <c r="P93" s="2769"/>
      <c r="Q93" s="2730"/>
      <c r="R93" s="2716"/>
      <c r="S93" s="2716"/>
      <c r="T93" s="2716"/>
      <c r="U93" s="2716"/>
      <c r="V93" s="2716"/>
      <c r="W93" s="2716"/>
      <c r="X93" s="2716"/>
      <c r="Y93" s="2716"/>
      <c r="Z93" s="2716"/>
      <c r="AA93" s="2716"/>
      <c r="AB93" s="2716"/>
      <c r="AC93" s="2716"/>
    </row>
    <row r="94" spans="1:29" ht="15.75" thickBot="1">
      <c r="A94" s="481"/>
      <c r="B94" s="490"/>
      <c r="C94" s="491">
        <v>100</v>
      </c>
      <c r="D94" s="491">
        <f>C94-$K21</f>
        <v>98</v>
      </c>
      <c r="E94" s="491">
        <f>D94-$K21</f>
        <v>96</v>
      </c>
      <c r="F94" s="491">
        <f>E94-$K21</f>
        <v>94</v>
      </c>
      <c r="G94" s="491">
        <f>F94-$K21</f>
        <v>92</v>
      </c>
      <c r="H94" s="491"/>
      <c r="I94" s="491"/>
      <c r="J94" s="491"/>
      <c r="K94" s="491"/>
      <c r="L94" s="491"/>
      <c r="M94" s="492"/>
      <c r="N94" s="2745"/>
      <c r="O94" s="2745"/>
      <c r="P94" s="2769"/>
      <c r="Q94" s="2730"/>
      <c r="R94" s="2716"/>
      <c r="S94" s="2716"/>
      <c r="T94" s="2716"/>
      <c r="U94" s="2716"/>
      <c r="V94" s="2716"/>
      <c r="W94" s="2716"/>
      <c r="X94" s="2716"/>
      <c r="Y94" s="2716"/>
      <c r="Z94" s="2716"/>
      <c r="AA94" s="2716"/>
      <c r="AB94" s="2716"/>
      <c r="AC94" s="2716"/>
    </row>
    <row r="95" spans="1:29" s="108" customFormat="1" ht="15.75" thickTop="1">
      <c r="A95" s="526"/>
      <c r="B95" s="485" t="s">
        <v>1905</v>
      </c>
      <c r="C95" s="525" t="s">
        <v>1719</v>
      </c>
      <c r="D95" s="525" t="s">
        <v>1720</v>
      </c>
      <c r="E95" s="525" t="s">
        <v>1721</v>
      </c>
      <c r="F95" s="525" t="s">
        <v>1722</v>
      </c>
      <c r="G95" s="525" t="s">
        <v>1723</v>
      </c>
      <c r="H95" s="525"/>
      <c r="I95" s="525"/>
      <c r="J95" s="525"/>
      <c r="K95" s="525"/>
      <c r="L95" s="644"/>
      <c r="M95" s="568"/>
      <c r="N95" s="2743"/>
      <c r="O95" s="2743"/>
      <c r="P95" s="2769"/>
      <c r="Q95" s="2730"/>
      <c r="R95" s="2652"/>
      <c r="S95" s="2652"/>
      <c r="T95" s="2652"/>
      <c r="U95" s="2652"/>
      <c r="V95" s="2652"/>
      <c r="W95" s="2652"/>
      <c r="X95" s="2652"/>
      <c r="Y95" s="2652"/>
      <c r="Z95" s="2652"/>
      <c r="AA95" s="2652"/>
      <c r="AB95" s="2652"/>
      <c r="AC95" s="2652"/>
    </row>
    <row r="96" spans="1:29" s="108" customFormat="1" ht="15.75" thickBot="1">
      <c r="A96" s="526"/>
      <c r="B96" s="490"/>
      <c r="C96" s="529">
        <v>100</v>
      </c>
      <c r="D96" s="491">
        <f>C96-$K23</f>
        <v>98</v>
      </c>
      <c r="E96" s="491">
        <f>D96-$K23</f>
        <v>96</v>
      </c>
      <c r="F96" s="491">
        <f>E96-$K23</f>
        <v>94</v>
      </c>
      <c r="G96" s="491">
        <f>F96-$K23</f>
        <v>92</v>
      </c>
      <c r="H96" s="491"/>
      <c r="I96" s="491"/>
      <c r="J96" s="491"/>
      <c r="K96" s="491"/>
      <c r="L96" s="491"/>
      <c r="M96" s="492"/>
      <c r="N96" s="2745"/>
      <c r="O96" s="2745"/>
      <c r="P96" s="2769"/>
      <c r="Q96" s="2730"/>
      <c r="R96" s="2652"/>
      <c r="S96" s="2652"/>
      <c r="T96" s="2652"/>
      <c r="U96" s="2652"/>
      <c r="V96" s="2652"/>
      <c r="W96" s="2652"/>
      <c r="X96" s="2652"/>
      <c r="Y96" s="2652"/>
      <c r="Z96" s="2652"/>
      <c r="AA96" s="2652"/>
      <c r="AB96" s="2652"/>
      <c r="AC96" s="2652"/>
    </row>
    <row r="97" spans="1:29" s="108" customFormat="1" ht="27.75" thickTop="1">
      <c r="A97" s="526"/>
      <c r="B97" s="485" t="s">
        <v>1906</v>
      </c>
      <c r="C97" s="520" t="s">
        <v>1719</v>
      </c>
      <c r="D97" s="520" t="s">
        <v>1720</v>
      </c>
      <c r="E97" s="520" t="s">
        <v>1721</v>
      </c>
      <c r="F97" s="520" t="s">
        <v>1722</v>
      </c>
      <c r="G97" s="520" t="s">
        <v>1723</v>
      </c>
      <c r="H97" s="525"/>
      <c r="I97" s="525"/>
      <c r="J97" s="525"/>
      <c r="K97" s="525"/>
      <c r="L97" s="525"/>
      <c r="M97" s="568"/>
      <c r="N97" s="2743"/>
      <c r="O97" s="2743"/>
      <c r="P97" s="2769"/>
      <c r="Q97" s="2730"/>
      <c r="R97" s="2652"/>
      <c r="S97" s="2652"/>
      <c r="T97" s="2652"/>
      <c r="U97" s="2652"/>
      <c r="V97" s="2652"/>
      <c r="W97" s="2652"/>
      <c r="X97" s="2652"/>
      <c r="Y97" s="2652"/>
      <c r="Z97" s="2652"/>
      <c r="AA97" s="2652"/>
      <c r="AB97" s="2652"/>
      <c r="AC97" s="2652"/>
    </row>
    <row r="98" spans="1:29" s="108" customFormat="1" ht="15.75" thickBot="1">
      <c r="A98" s="526"/>
      <c r="B98" s="490"/>
      <c r="C98" s="491">
        <v>100</v>
      </c>
      <c r="D98" s="491">
        <f>C98-$K25</f>
        <v>98</v>
      </c>
      <c r="E98" s="491">
        <f>D98-$K25</f>
        <v>96</v>
      </c>
      <c r="F98" s="491">
        <f>E98-$K25</f>
        <v>94</v>
      </c>
      <c r="G98" s="491">
        <f>F98-$K25</f>
        <v>92</v>
      </c>
      <c r="H98" s="491"/>
      <c r="I98" s="491"/>
      <c r="J98" s="491"/>
      <c r="K98" s="491"/>
      <c r="L98" s="491"/>
      <c r="M98" s="492"/>
      <c r="N98" s="2745"/>
      <c r="O98" s="2745"/>
      <c r="P98" s="2769"/>
      <c r="Q98" s="2730"/>
      <c r="R98" s="2652"/>
      <c r="S98" s="2652"/>
      <c r="T98" s="2652"/>
      <c r="U98" s="2652"/>
      <c r="V98" s="2652"/>
      <c r="W98" s="2652"/>
      <c r="X98" s="2652"/>
      <c r="Y98" s="2652"/>
      <c r="Z98" s="2652"/>
      <c r="AA98" s="2652"/>
      <c r="AB98" s="2652"/>
      <c r="AC98" s="2652"/>
    </row>
    <row r="99" spans="1:29" s="422" customFormat="1" ht="15.75" thickTop="1">
      <c r="A99" s="500"/>
      <c r="B99" s="485" t="s">
        <v>1776</v>
      </c>
      <c r="C99" s="520" t="s">
        <v>1719</v>
      </c>
      <c r="D99" s="520" t="s">
        <v>1720</v>
      </c>
      <c r="E99" s="520" t="s">
        <v>1721</v>
      </c>
      <c r="F99" s="520" t="s">
        <v>1722</v>
      </c>
      <c r="G99" s="520" t="s">
        <v>1723</v>
      </c>
      <c r="H99" s="547"/>
      <c r="I99" s="547"/>
      <c r="J99" s="547"/>
      <c r="K99" s="547"/>
      <c r="L99" s="548"/>
      <c r="M99" s="549"/>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0"/>
      <c r="B100" s="490"/>
      <c r="C100" s="491">
        <v>100</v>
      </c>
      <c r="D100" s="491">
        <f>C100-$K27</f>
        <v>98</v>
      </c>
      <c r="E100" s="491">
        <f>D100-$K27</f>
        <v>96</v>
      </c>
      <c r="F100" s="491">
        <f>E100-$K27</f>
        <v>94</v>
      </c>
      <c r="G100" s="491">
        <f>F100-$K27</f>
        <v>92</v>
      </c>
      <c r="H100" s="554"/>
      <c r="I100" s="554"/>
      <c r="J100" s="554"/>
      <c r="K100" s="554"/>
      <c r="L100" s="554"/>
      <c r="M100" s="555"/>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0"/>
      <c r="B101" s="493" t="s">
        <v>1777</v>
      </c>
      <c r="C101" s="606" t="s">
        <v>1797</v>
      </c>
      <c r="D101" s="606" t="s">
        <v>1798</v>
      </c>
      <c r="E101" s="606" t="s">
        <v>1799</v>
      </c>
      <c r="F101" s="606" t="s">
        <v>1800</v>
      </c>
      <c r="G101" s="606" t="s">
        <v>1801</v>
      </c>
      <c r="H101" s="547"/>
      <c r="I101" s="547"/>
      <c r="J101" s="547"/>
      <c r="K101" s="547"/>
      <c r="L101" s="547"/>
      <c r="M101" s="1130"/>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0"/>
      <c r="B102" s="493"/>
      <c r="C102" s="491">
        <v>100</v>
      </c>
      <c r="D102" s="491">
        <f>C102-$K29</f>
        <v>99</v>
      </c>
      <c r="E102" s="491">
        <f>D102-$K29</f>
        <v>98</v>
      </c>
      <c r="F102" s="491">
        <f>E102-$K29</f>
        <v>97</v>
      </c>
      <c r="G102" s="491">
        <f>F102-$K29</f>
        <v>96</v>
      </c>
      <c r="H102" s="495"/>
      <c r="I102" s="495"/>
      <c r="J102" s="495"/>
      <c r="K102" s="495"/>
      <c r="L102" s="495"/>
      <c r="M102" s="1130"/>
      <c r="N102" s="2746"/>
      <c r="O102" s="2746"/>
      <c r="P102" s="2770"/>
      <c r="Q102" s="2737"/>
      <c r="R102" s="2738"/>
      <c r="S102" s="2738"/>
      <c r="T102" s="2738"/>
      <c r="U102" s="2738"/>
      <c r="V102" s="2738"/>
      <c r="W102" s="2738"/>
      <c r="X102" s="2738"/>
      <c r="Y102" s="2738"/>
      <c r="Z102" s="2738"/>
      <c r="AA102" s="2738"/>
      <c r="AB102" s="2738"/>
      <c r="AC102" s="2738"/>
    </row>
    <row r="103" spans="1:29" ht="15.75" thickTop="1">
      <c r="A103" s="481"/>
      <c r="B103" s="485" t="str">
        <f>B31</f>
        <v>临街状况</v>
      </c>
      <c r="C103" s="486" t="s">
        <v>1907</v>
      </c>
      <c r="D103" s="486" t="s">
        <v>1908</v>
      </c>
      <c r="E103" s="486" t="s">
        <v>1909</v>
      </c>
      <c r="F103" s="486" t="s">
        <v>1910</v>
      </c>
      <c r="G103" s="486"/>
      <c r="H103" s="486"/>
      <c r="I103" s="486"/>
      <c r="J103" s="486"/>
      <c r="K103" s="487"/>
      <c r="L103" s="488"/>
      <c r="M103" s="489"/>
      <c r="N103" s="2744"/>
      <c r="O103" s="2744"/>
      <c r="P103" s="2769"/>
      <c r="Q103" s="2730"/>
      <c r="R103" s="2716"/>
      <c r="S103" s="2716"/>
      <c r="T103" s="2716"/>
      <c r="U103" s="2716"/>
      <c r="V103" s="2716"/>
      <c r="W103" s="2716"/>
      <c r="X103" s="2716"/>
      <c r="Y103" s="2716"/>
      <c r="Z103" s="2716"/>
      <c r="AA103" s="2716"/>
      <c r="AB103" s="2716"/>
      <c r="AC103" s="2716"/>
    </row>
    <row r="104" spans="1:29" ht="15.75" thickBot="1">
      <c r="A104" s="481"/>
      <c r="B104" s="490"/>
      <c r="C104" s="491">
        <v>100</v>
      </c>
      <c r="D104" s="491">
        <f t="shared" ref="D104:M104" si="23">C104-$K31</f>
        <v>100</v>
      </c>
      <c r="E104" s="491">
        <f t="shared" si="23"/>
        <v>100</v>
      </c>
      <c r="F104" s="491">
        <f t="shared" si="23"/>
        <v>100</v>
      </c>
      <c r="G104" s="491">
        <f t="shared" si="23"/>
        <v>100</v>
      </c>
      <c r="H104" s="491">
        <f t="shared" si="23"/>
        <v>100</v>
      </c>
      <c r="I104" s="491">
        <f t="shared" si="23"/>
        <v>100</v>
      </c>
      <c r="J104" s="491">
        <f t="shared" si="23"/>
        <v>100</v>
      </c>
      <c r="K104" s="491">
        <f t="shared" si="23"/>
        <v>100</v>
      </c>
      <c r="L104" s="491">
        <f t="shared" si="23"/>
        <v>100</v>
      </c>
      <c r="M104" s="491">
        <f t="shared" si="23"/>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1"/>
      <c r="B105" s="485" t="s">
        <v>1813</v>
      </c>
      <c r="C105" s="501"/>
      <c r="D105" s="501"/>
      <c r="E105" s="501"/>
      <c r="F105" s="501"/>
      <c r="G105" s="501"/>
      <c r="H105" s="530"/>
      <c r="I105" s="530"/>
      <c r="J105" s="530"/>
      <c r="K105" s="531"/>
      <c r="L105" s="532"/>
      <c r="M105" s="533"/>
      <c r="N105" s="2744"/>
      <c r="O105" s="2744"/>
      <c r="P105" s="2769"/>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4">C106-$K32</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1">
        <f t="shared" si="24"/>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1"/>
      <c r="B107" s="485" t="s">
        <v>1871</v>
      </c>
      <c r="C107" s="530"/>
      <c r="D107" s="530"/>
      <c r="E107" s="530"/>
      <c r="F107" s="530"/>
      <c r="G107" s="530"/>
      <c r="H107" s="530"/>
      <c r="I107" s="530"/>
      <c r="J107" s="530"/>
      <c r="K107" s="531"/>
      <c r="L107" s="532"/>
      <c r="M107" s="533"/>
      <c r="N107" s="2744"/>
      <c r="O107" s="2744"/>
      <c r="P107" s="2769"/>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5">C108-$K34</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1">
        <f t="shared" si="25"/>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1"/>
      <c r="B109" s="493">
        <f>B35</f>
        <v>111</v>
      </c>
      <c r="C109" s="501"/>
      <c r="D109" s="501"/>
      <c r="E109" s="501"/>
      <c r="F109" s="501"/>
      <c r="G109" s="534"/>
      <c r="H109" s="534"/>
      <c r="I109" s="534"/>
      <c r="J109" s="534"/>
      <c r="K109" s="535"/>
      <c r="L109" s="536"/>
      <c r="M109" s="537"/>
      <c r="N109" s="2744"/>
      <c r="O109" s="2744"/>
      <c r="P109" s="2769"/>
      <c r="Q109" s="2730"/>
      <c r="R109" s="2716"/>
      <c r="S109" s="2716"/>
      <c r="T109" s="2716"/>
      <c r="U109" s="2716"/>
      <c r="V109" s="2716"/>
      <c r="W109" s="2716"/>
      <c r="X109" s="2716"/>
      <c r="Y109" s="2716"/>
      <c r="Z109" s="2716"/>
      <c r="AA109" s="2716"/>
      <c r="AB109" s="2716"/>
      <c r="AC109" s="2716"/>
    </row>
    <row r="110" spans="1:29" ht="15.75" thickBot="1">
      <c r="A110" s="481"/>
      <c r="B110" s="516"/>
      <c r="C110" s="507"/>
      <c r="D110" s="507"/>
      <c r="E110" s="507"/>
      <c r="F110" s="507"/>
      <c r="G110" s="538"/>
      <c r="H110" s="538"/>
      <c r="I110" s="538"/>
      <c r="J110" s="538"/>
      <c r="K110" s="538"/>
      <c r="L110" s="538"/>
      <c r="M110" s="539"/>
      <c r="N110" s="2745"/>
      <c r="O110" s="2745"/>
      <c r="P110" s="2769"/>
      <c r="Q110" s="2730"/>
      <c r="R110" s="2716"/>
      <c r="S110" s="2716"/>
      <c r="T110" s="2716"/>
      <c r="U110" s="2716"/>
      <c r="V110" s="2716"/>
      <c r="W110" s="2716"/>
      <c r="X110" s="2716"/>
      <c r="Y110" s="2716"/>
      <c r="Z110" s="2716"/>
      <c r="AA110" s="2716"/>
      <c r="AB110" s="2716"/>
      <c r="AC110" s="2716"/>
    </row>
    <row r="111" spans="1:29" ht="15" thickTop="1">
      <c r="A111" s="621"/>
      <c r="B111" s="485">
        <f>B36</f>
        <v>111</v>
      </c>
      <c r="C111" s="470"/>
      <c r="D111" s="470"/>
      <c r="E111" s="470"/>
      <c r="F111" s="470"/>
      <c r="G111" s="530"/>
      <c r="H111" s="530"/>
      <c r="I111" s="530"/>
      <c r="J111" s="530"/>
      <c r="K111" s="531"/>
      <c r="L111" s="532"/>
      <c r="M111" s="533"/>
      <c r="N111" s="2744"/>
      <c r="O111" s="2744"/>
      <c r="P111" s="2769"/>
      <c r="Q111" s="2730"/>
      <c r="R111" s="2716"/>
      <c r="S111" s="2716"/>
      <c r="T111" s="2716"/>
      <c r="U111" s="2716"/>
      <c r="V111" s="2716"/>
      <c r="W111" s="2716"/>
      <c r="X111" s="2716"/>
      <c r="Y111" s="2716"/>
      <c r="Z111" s="2716"/>
      <c r="AA111" s="2716"/>
      <c r="AB111" s="2716"/>
      <c r="AC111" s="2716"/>
    </row>
    <row r="112" spans="1:29" ht="15.75" thickBot="1">
      <c r="A112" s="481"/>
      <c r="B112" s="490"/>
      <c r="C112" s="517"/>
      <c r="D112" s="517"/>
      <c r="E112" s="517"/>
      <c r="F112" s="517"/>
      <c r="G112" s="483"/>
      <c r="H112" s="483"/>
      <c r="I112" s="483"/>
      <c r="J112" s="483"/>
      <c r="K112" s="483"/>
      <c r="L112" s="483"/>
      <c r="M112" s="484"/>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0"/>
      <c r="B113" s="541">
        <f>B37</f>
        <v>111</v>
      </c>
      <c r="C113" s="542"/>
      <c r="D113" s="542"/>
      <c r="E113" s="542"/>
      <c r="F113" s="542"/>
      <c r="G113" s="542"/>
      <c r="H113" s="542"/>
      <c r="I113" s="542"/>
      <c r="J113" s="543"/>
      <c r="K113" s="543"/>
      <c r="L113" s="544"/>
      <c r="M113" s="545"/>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0"/>
      <c r="B114" s="493"/>
      <c r="C114" s="459"/>
      <c r="D114" s="623"/>
      <c r="E114" s="623"/>
      <c r="F114" s="623"/>
      <c r="G114" s="623"/>
      <c r="H114" s="623"/>
      <c r="I114" s="623"/>
      <c r="J114" s="623"/>
      <c r="K114" s="623"/>
      <c r="L114" s="623"/>
      <c r="M114" s="645"/>
      <c r="N114" s="2745"/>
      <c r="O114" s="2745"/>
      <c r="P114" s="2770"/>
      <c r="Q114" s="2737"/>
      <c r="R114" s="2738"/>
      <c r="S114" s="2738"/>
      <c r="T114" s="2738"/>
      <c r="U114" s="2738"/>
      <c r="V114" s="2738"/>
      <c r="W114" s="2738"/>
      <c r="X114" s="2738"/>
      <c r="Y114" s="2738"/>
      <c r="Z114" s="2738"/>
      <c r="AA114" s="2738"/>
      <c r="AB114" s="2738"/>
      <c r="AC114" s="2738"/>
    </row>
    <row r="115" spans="1:29" ht="28.5">
      <c r="A115" s="474" t="s">
        <v>1692</v>
      </c>
      <c r="B115" s="475" t="s">
        <v>1911</v>
      </c>
      <c r="C115" s="476" t="str">
        <f>C116&amp;"(含)"&amp;"-"&amp;D116</f>
        <v>0(含)-10000</v>
      </c>
      <c r="D115" s="476" t="str">
        <f t="shared" ref="D115:M115" si="26">D116&amp;"(含)"&amp;"-"&amp;E116</f>
        <v>10000(含)-20000</v>
      </c>
      <c r="E115" s="476" t="str">
        <f t="shared" si="26"/>
        <v>20000(含)-40000</v>
      </c>
      <c r="F115" s="476" t="str">
        <f t="shared" si="26"/>
        <v>40000(含)-80000</v>
      </c>
      <c r="G115" s="476" t="str">
        <f t="shared" si="26"/>
        <v>80000(含)-</v>
      </c>
      <c r="H115" s="476" t="str">
        <f t="shared" si="26"/>
        <v>(含)-</v>
      </c>
      <c r="I115" s="476" t="str">
        <f t="shared" si="26"/>
        <v>(含)-</v>
      </c>
      <c r="J115" s="476" t="str">
        <f t="shared" si="26"/>
        <v>(含)-</v>
      </c>
      <c r="K115" s="476" t="str">
        <f t="shared" si="26"/>
        <v>(含)-</v>
      </c>
      <c r="L115" s="476" t="str">
        <f t="shared" si="26"/>
        <v>(含)-</v>
      </c>
      <c r="M115" s="476" t="str">
        <f t="shared" si="26"/>
        <v>(含)-</v>
      </c>
      <c r="N115" s="2744"/>
      <c r="O115" s="2744"/>
      <c r="P115" s="2769"/>
      <c r="Q115" s="2730"/>
      <c r="R115" s="2716"/>
      <c r="S115" s="2716"/>
      <c r="T115" s="2716"/>
      <c r="U115" s="2716"/>
      <c r="V115" s="2716"/>
      <c r="W115" s="2716"/>
      <c r="X115" s="2716"/>
      <c r="Y115" s="2716"/>
      <c r="Z115" s="2716"/>
      <c r="AA115" s="2716"/>
      <c r="AB115" s="2716"/>
      <c r="AC115" s="2716"/>
    </row>
    <row r="116" spans="1:29" ht="15">
      <c r="A116" s="481"/>
      <c r="B116" s="493"/>
      <c r="C116" s="542">
        <v>0</v>
      </c>
      <c r="D116" s="542">
        <v>10000</v>
      </c>
      <c r="E116" s="542">
        <v>20000</v>
      </c>
      <c r="F116" s="542">
        <v>40000</v>
      </c>
      <c r="G116" s="542">
        <v>80000</v>
      </c>
      <c r="H116" s="542"/>
      <c r="I116" s="542"/>
      <c r="J116" s="543"/>
      <c r="K116" s="543"/>
      <c r="L116" s="544"/>
      <c r="M116" s="545"/>
      <c r="N116" s="2744"/>
      <c r="O116" s="2744"/>
      <c r="P116" s="2769"/>
      <c r="Q116" s="2730"/>
      <c r="R116" s="2716"/>
      <c r="S116" s="2716"/>
      <c r="T116" s="2716"/>
      <c r="U116" s="2716"/>
      <c r="V116" s="2716"/>
      <c r="W116" s="2716"/>
      <c r="X116" s="2716"/>
      <c r="Y116" s="2716"/>
      <c r="Z116" s="2716"/>
      <c r="AA116" s="2716"/>
      <c r="AB116" s="2716"/>
      <c r="AC116" s="2716"/>
    </row>
    <row r="117" spans="1:29" ht="15.75" thickBot="1">
      <c r="A117" s="481"/>
      <c r="B117" s="490"/>
      <c r="C117" s="517">
        <v>100</v>
      </c>
      <c r="D117" s="538">
        <v>102</v>
      </c>
      <c r="E117" s="538">
        <v>104</v>
      </c>
      <c r="F117" s="538">
        <v>106</v>
      </c>
      <c r="G117" s="538"/>
      <c r="H117" s="538"/>
      <c r="I117" s="538"/>
      <c r="J117" s="538"/>
      <c r="K117" s="538"/>
      <c r="L117" s="538"/>
      <c r="M117" s="539"/>
      <c r="N117" s="2745"/>
      <c r="O117" s="2745"/>
      <c r="P117" s="2769"/>
      <c r="Q117" s="2730"/>
      <c r="R117" s="2716"/>
      <c r="S117" s="2716"/>
      <c r="T117" s="2716"/>
      <c r="U117" s="2716"/>
      <c r="V117" s="2716"/>
      <c r="W117" s="2716"/>
      <c r="X117" s="2716"/>
      <c r="Y117" s="2716"/>
      <c r="Z117" s="2716"/>
      <c r="AA117" s="2716"/>
      <c r="AB117" s="2716"/>
      <c r="AC117" s="2716"/>
    </row>
    <row r="118" spans="1:29" ht="15" thickTop="1">
      <c r="A118" s="546"/>
      <c r="B118" s="485" t="s">
        <v>1912</v>
      </c>
      <c r="C118" s="530"/>
      <c r="D118" s="530"/>
      <c r="E118" s="530"/>
      <c r="F118" s="530"/>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row>
    <row r="119" spans="1:29" ht="15.75" thickBot="1">
      <c r="A119" s="481"/>
      <c r="B119" s="490"/>
      <c r="C119" s="491">
        <v>100</v>
      </c>
      <c r="D119" s="491">
        <f t="shared" ref="D119:M119" si="27">C119-$K39</f>
        <v>98</v>
      </c>
      <c r="E119" s="491">
        <f t="shared" si="27"/>
        <v>96</v>
      </c>
      <c r="F119" s="491">
        <f t="shared" si="27"/>
        <v>94</v>
      </c>
      <c r="G119" s="491">
        <f t="shared" si="27"/>
        <v>92</v>
      </c>
      <c r="H119" s="491">
        <f t="shared" si="27"/>
        <v>90</v>
      </c>
      <c r="I119" s="491">
        <f t="shared" si="27"/>
        <v>88</v>
      </c>
      <c r="J119" s="491">
        <f t="shared" si="27"/>
        <v>86</v>
      </c>
      <c r="K119" s="491">
        <f t="shared" si="27"/>
        <v>84</v>
      </c>
      <c r="L119" s="491">
        <f t="shared" si="27"/>
        <v>82</v>
      </c>
      <c r="M119" s="492">
        <f t="shared" si="27"/>
        <v>80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6"/>
      <c r="B120" s="485" t="s">
        <v>1913</v>
      </c>
      <c r="C120" s="501"/>
      <c r="D120" s="501"/>
      <c r="E120" s="501"/>
      <c r="F120" s="530"/>
      <c r="G120" s="530"/>
      <c r="H120" s="530"/>
      <c r="I120" s="530"/>
      <c r="J120" s="530"/>
      <c r="K120" s="531"/>
      <c r="L120" s="532"/>
      <c r="M120" s="533"/>
      <c r="N120" s="2744"/>
      <c r="O120" s="2744"/>
      <c r="P120" s="2769"/>
      <c r="Q120" s="2730"/>
      <c r="R120" s="2716"/>
      <c r="S120" s="2716"/>
      <c r="T120" s="2716"/>
      <c r="U120" s="2716"/>
      <c r="V120" s="2716"/>
      <c r="W120" s="2716"/>
      <c r="X120" s="2716"/>
      <c r="Y120" s="2716"/>
      <c r="Z120" s="2716"/>
      <c r="AA120" s="2716"/>
      <c r="AB120" s="2716"/>
      <c r="AC120" s="2716"/>
    </row>
    <row r="121" spans="1:29" ht="15.75" thickBot="1">
      <c r="A121" s="481"/>
      <c r="B121" s="490"/>
      <c r="C121" s="491">
        <v>100</v>
      </c>
      <c r="D121" s="491">
        <f t="shared" ref="D121:M121" si="28">C121-$K40</f>
        <v>98</v>
      </c>
      <c r="E121" s="491">
        <f t="shared" si="28"/>
        <v>96</v>
      </c>
      <c r="F121" s="491">
        <f t="shared" si="28"/>
        <v>94</v>
      </c>
      <c r="G121" s="491">
        <f t="shared" si="28"/>
        <v>92</v>
      </c>
      <c r="H121" s="491">
        <f t="shared" si="28"/>
        <v>90</v>
      </c>
      <c r="I121" s="491">
        <f t="shared" si="28"/>
        <v>88</v>
      </c>
      <c r="J121" s="491">
        <f t="shared" si="28"/>
        <v>86</v>
      </c>
      <c r="K121" s="491">
        <f t="shared" si="28"/>
        <v>84</v>
      </c>
      <c r="L121" s="491">
        <f t="shared" si="28"/>
        <v>82</v>
      </c>
      <c r="M121" s="492">
        <f t="shared" si="28"/>
        <v>80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0"/>
      <c r="B122" s="485" t="s">
        <v>1914</v>
      </c>
      <c r="C122" s="501"/>
      <c r="D122" s="501"/>
      <c r="E122" s="501"/>
      <c r="F122" s="501"/>
      <c r="G122" s="501"/>
      <c r="H122" s="530"/>
      <c r="I122" s="530"/>
      <c r="J122" s="530"/>
      <c r="K122" s="531"/>
      <c r="L122" s="532"/>
      <c r="M122" s="533"/>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0"/>
      <c r="B123" s="490"/>
      <c r="C123" s="491">
        <v>100</v>
      </c>
      <c r="D123" s="491">
        <f t="shared" ref="D123:M123" si="29">C123-$K41</f>
        <v>99</v>
      </c>
      <c r="E123" s="491">
        <f t="shared" si="29"/>
        <v>98</v>
      </c>
      <c r="F123" s="491">
        <f t="shared" si="29"/>
        <v>97</v>
      </c>
      <c r="G123" s="491">
        <f t="shared" si="29"/>
        <v>96</v>
      </c>
      <c r="H123" s="491">
        <f t="shared" si="29"/>
        <v>95</v>
      </c>
      <c r="I123" s="491">
        <f t="shared" si="29"/>
        <v>94</v>
      </c>
      <c r="J123" s="491">
        <f t="shared" si="29"/>
        <v>93</v>
      </c>
      <c r="K123" s="491">
        <f t="shared" si="29"/>
        <v>92</v>
      </c>
      <c r="L123" s="491">
        <f t="shared" si="29"/>
        <v>91</v>
      </c>
      <c r="M123" s="492">
        <f t="shared" si="29"/>
        <v>90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6"/>
      <c r="B124" s="485" t="s">
        <v>1915</v>
      </c>
      <c r="C124" s="501"/>
      <c r="D124" s="501"/>
      <c r="E124" s="530"/>
      <c r="F124" s="530"/>
      <c r="G124" s="530"/>
      <c r="H124" s="530"/>
      <c r="I124" s="530"/>
      <c r="J124" s="530"/>
      <c r="K124" s="531"/>
      <c r="L124" s="532"/>
      <c r="M124" s="533"/>
      <c r="N124" s="2744"/>
      <c r="O124" s="2744"/>
      <c r="P124" s="2769"/>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 t="shared" ref="D125:M125" si="30">C125-$K42</f>
        <v>98</v>
      </c>
      <c r="E125" s="491">
        <f t="shared" si="30"/>
        <v>96</v>
      </c>
      <c r="F125" s="491">
        <f t="shared" si="30"/>
        <v>94</v>
      </c>
      <c r="G125" s="491">
        <f t="shared" si="30"/>
        <v>92</v>
      </c>
      <c r="H125" s="491">
        <f t="shared" si="30"/>
        <v>90</v>
      </c>
      <c r="I125" s="491">
        <f t="shared" si="30"/>
        <v>88</v>
      </c>
      <c r="J125" s="491">
        <f t="shared" si="30"/>
        <v>86</v>
      </c>
      <c r="K125" s="491">
        <f t="shared" si="30"/>
        <v>84</v>
      </c>
      <c r="L125" s="491">
        <f t="shared" si="30"/>
        <v>82</v>
      </c>
      <c r="M125" s="492">
        <f t="shared" si="30"/>
        <v>80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6"/>
      <c r="B126" s="485">
        <f>B43</f>
        <v>111</v>
      </c>
      <c r="C126" s="501"/>
      <c r="D126" s="501"/>
      <c r="E126" s="501"/>
      <c r="F126" s="501"/>
      <c r="G126" s="501"/>
      <c r="H126" s="530"/>
      <c r="I126" s="530"/>
      <c r="J126" s="530"/>
      <c r="K126" s="531"/>
      <c r="L126" s="532"/>
      <c r="M126" s="533"/>
      <c r="N126" s="2744"/>
      <c r="O126" s="2744"/>
      <c r="P126" s="2769"/>
      <c r="Q126" s="2730"/>
      <c r="R126" s="2716"/>
      <c r="S126" s="2716"/>
      <c r="T126" s="2716"/>
      <c r="U126" s="2716"/>
      <c r="V126" s="2716"/>
      <c r="W126" s="2716"/>
      <c r="X126" s="2716"/>
      <c r="Y126" s="2716"/>
      <c r="Z126" s="2716"/>
      <c r="AA126" s="2716"/>
      <c r="AB126" s="2716"/>
      <c r="AC126" s="2716"/>
    </row>
    <row r="127" spans="1:29" ht="15.75" thickBot="1">
      <c r="A127" s="481"/>
      <c r="B127" s="490"/>
      <c r="C127" s="507"/>
      <c r="D127" s="507"/>
      <c r="E127" s="507"/>
      <c r="F127" s="507"/>
      <c r="G127" s="483"/>
      <c r="H127" s="483"/>
      <c r="I127" s="483"/>
      <c r="J127" s="483"/>
      <c r="K127" s="483"/>
      <c r="L127" s="483"/>
      <c r="M127" s="484"/>
      <c r="N127" s="2745"/>
      <c r="O127" s="2745"/>
      <c r="P127" s="2769"/>
      <c r="Q127" s="2730"/>
      <c r="R127" s="2716"/>
      <c r="S127" s="2716"/>
      <c r="T127" s="2716"/>
      <c r="U127" s="2716"/>
      <c r="V127" s="2716"/>
      <c r="W127" s="2716"/>
      <c r="X127" s="2716"/>
      <c r="Y127" s="2716"/>
      <c r="Z127" s="2716"/>
      <c r="AA127" s="2716"/>
      <c r="AB127" s="2716"/>
      <c r="AC127" s="2716"/>
    </row>
    <row r="128" spans="1:29" ht="15" thickTop="1">
      <c r="A128" s="546"/>
      <c r="B128" s="485">
        <f>B44</f>
        <v>111</v>
      </c>
      <c r="C128" s="470"/>
      <c r="D128" s="470"/>
      <c r="E128" s="470"/>
      <c r="F128" s="470"/>
      <c r="G128" s="530"/>
      <c r="H128" s="530"/>
      <c r="I128" s="530"/>
      <c r="J128" s="530"/>
      <c r="K128" s="531"/>
      <c r="L128" s="532"/>
      <c r="M128" s="533"/>
      <c r="N128" s="2744"/>
      <c r="O128" s="2744"/>
      <c r="P128" s="2769"/>
      <c r="Q128" s="2730"/>
      <c r="R128" s="2716"/>
      <c r="S128" s="2716"/>
      <c r="T128" s="2716"/>
      <c r="U128" s="2716"/>
      <c r="V128" s="2716"/>
      <c r="W128" s="2716"/>
      <c r="X128" s="2716"/>
      <c r="Y128" s="2716"/>
      <c r="Z128" s="2716"/>
      <c r="AA128" s="2716"/>
      <c r="AB128" s="2716"/>
      <c r="AC128" s="2716"/>
    </row>
    <row r="129" spans="1:29" ht="15.75" thickBot="1">
      <c r="A129" s="481"/>
      <c r="B129" s="490"/>
      <c r="C129" s="517"/>
      <c r="D129" s="517"/>
      <c r="E129" s="517"/>
      <c r="F129" s="517"/>
      <c r="G129" s="483"/>
      <c r="H129" s="483"/>
      <c r="I129" s="483"/>
      <c r="J129" s="483"/>
      <c r="K129" s="483"/>
      <c r="L129" s="483"/>
      <c r="M129" s="484"/>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0"/>
      <c r="B130" s="485">
        <f>B45</f>
        <v>111</v>
      </c>
      <c r="C130" s="470"/>
      <c r="D130" s="470"/>
      <c r="E130" s="470"/>
      <c r="F130" s="470"/>
      <c r="G130" s="502"/>
      <c r="H130" s="502"/>
      <c r="I130" s="502"/>
      <c r="J130" s="502"/>
      <c r="K130" s="502"/>
      <c r="L130" s="503"/>
      <c r="M130" s="504"/>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5"/>
      <c r="B131" s="646"/>
      <c r="C131" s="517"/>
      <c r="D131" s="517"/>
      <c r="E131" s="517"/>
      <c r="F131" s="517"/>
      <c r="G131" s="538"/>
      <c r="H131" s="538"/>
      <c r="I131" s="538"/>
      <c r="J131" s="538"/>
      <c r="K131" s="538"/>
      <c r="L131" s="538"/>
      <c r="M131" s="539"/>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9"/>
  <sheetViews>
    <sheetView workbookViewId="0">
      <selection activeCell="E63" sqref="E63"/>
    </sheetView>
  </sheetViews>
  <sheetFormatPr defaultRowHeight="13.5"/>
  <cols>
    <col min="1" max="1" width="9" style="3456"/>
    <col min="2" max="4" width="0" style="3456" hidden="1" customWidth="1"/>
    <col min="5" max="6" width="9" style="3456"/>
    <col min="7" max="7" width="0" style="3456" hidden="1" customWidth="1"/>
    <col min="8" max="11" width="9" style="3456"/>
    <col min="12" max="12" width="0" style="3456" hidden="1" customWidth="1"/>
    <col min="13" max="14" width="9" style="3456"/>
    <col min="15" max="18" width="0" style="3456" hidden="1" customWidth="1"/>
    <col min="19" max="19" width="9" style="3456"/>
    <col min="20" max="28" width="0" style="3456" hidden="1" customWidth="1"/>
    <col min="29" max="29" width="11.5" style="3456" customWidth="1"/>
    <col min="30" max="31" width="0" style="3456" hidden="1" customWidth="1"/>
    <col min="32" max="33" width="9" style="3456"/>
    <col min="34" max="37" width="0" style="3456" hidden="1" customWidth="1"/>
    <col min="38" max="38" width="9" style="3456"/>
    <col min="39" max="39" width="0" style="3456" hidden="1" customWidth="1"/>
    <col min="40" max="40" width="9" style="3456"/>
    <col min="41" max="41" width="0" style="3456" hidden="1" customWidth="1"/>
    <col min="42" max="42" width="9" style="3448"/>
    <col min="43" max="44" width="0" style="3456" hidden="1" customWidth="1"/>
    <col min="45" max="16384" width="9" style="3456"/>
  </cols>
  <sheetData>
    <row r="1" spans="1:52" s="3448" customFormat="1" ht="14.25">
      <c r="A1" s="3447" t="s">
        <v>3520</v>
      </c>
      <c r="B1" s="3447" t="s">
        <v>3521</v>
      </c>
      <c r="C1" s="3447" t="s">
        <v>3522</v>
      </c>
      <c r="D1" s="3447" t="s">
        <v>3523</v>
      </c>
      <c r="E1" s="3447" t="s">
        <v>3524</v>
      </c>
      <c r="F1" s="3447" t="s">
        <v>3525</v>
      </c>
      <c r="G1" s="3447" t="s">
        <v>3526</v>
      </c>
      <c r="H1" s="3447" t="s">
        <v>3527</v>
      </c>
      <c r="I1" s="3447" t="s">
        <v>3528</v>
      </c>
      <c r="J1" s="3447" t="s">
        <v>3529</v>
      </c>
      <c r="K1" s="3447" t="s">
        <v>3530</v>
      </c>
      <c r="L1" s="3447" t="s">
        <v>3531</v>
      </c>
      <c r="M1" s="3447" t="s">
        <v>3532</v>
      </c>
      <c r="N1" s="3447" t="s">
        <v>3533</v>
      </c>
      <c r="O1" s="3447" t="s">
        <v>3534</v>
      </c>
      <c r="P1" s="3447" t="s">
        <v>3535</v>
      </c>
      <c r="Q1" s="3447" t="s">
        <v>3536</v>
      </c>
      <c r="R1" s="3447" t="s">
        <v>3537</v>
      </c>
      <c r="S1" s="3447" t="s">
        <v>3538</v>
      </c>
      <c r="T1" s="3447" t="s">
        <v>3539</v>
      </c>
      <c r="U1" s="3447" t="s">
        <v>3540</v>
      </c>
      <c r="V1" s="3447" t="s">
        <v>3541</v>
      </c>
      <c r="W1" s="3447" t="s">
        <v>3542</v>
      </c>
      <c r="X1" s="3447" t="s">
        <v>3543</v>
      </c>
      <c r="Y1" s="3447" t="s">
        <v>3544</v>
      </c>
      <c r="Z1" s="3447" t="s">
        <v>3545</v>
      </c>
      <c r="AA1" s="3447" t="s">
        <v>3546</v>
      </c>
      <c r="AB1" s="3447" t="s">
        <v>3547</v>
      </c>
      <c r="AC1" s="3447" t="s">
        <v>3548</v>
      </c>
      <c r="AD1" s="3447" t="s">
        <v>3549</v>
      </c>
      <c r="AE1" s="3447" t="s">
        <v>3550</v>
      </c>
      <c r="AF1" s="3447" t="s">
        <v>3551</v>
      </c>
      <c r="AG1" s="3447" t="s">
        <v>3552</v>
      </c>
      <c r="AH1" s="3447" t="s">
        <v>3553</v>
      </c>
      <c r="AI1" s="3447" t="s">
        <v>3554</v>
      </c>
      <c r="AJ1" s="3447" t="s">
        <v>3555</v>
      </c>
      <c r="AK1" s="3447" t="s">
        <v>3556</v>
      </c>
      <c r="AL1" s="3447" t="s">
        <v>3557</v>
      </c>
      <c r="AM1" s="3447" t="s">
        <v>3558</v>
      </c>
      <c r="AN1" s="3447" t="s">
        <v>3559</v>
      </c>
      <c r="AO1" s="3447" t="s">
        <v>3560</v>
      </c>
      <c r="AP1" s="3447" t="s">
        <v>3561</v>
      </c>
      <c r="AQ1" s="3447" t="s">
        <v>3562</v>
      </c>
      <c r="AR1" s="3447" t="s">
        <v>3563</v>
      </c>
      <c r="AS1" s="3447" t="s">
        <v>3564</v>
      </c>
      <c r="AT1" s="3447" t="s">
        <v>3565</v>
      </c>
      <c r="AU1" s="3447" t="s">
        <v>3566</v>
      </c>
      <c r="AV1" s="3447" t="s">
        <v>3567</v>
      </c>
      <c r="AW1" s="3447" t="s">
        <v>3568</v>
      </c>
      <c r="AX1" s="3447" t="s">
        <v>3569</v>
      </c>
      <c r="AY1" s="3447" t="s">
        <v>3570</v>
      </c>
      <c r="AZ1" s="3447" t="s">
        <v>3571</v>
      </c>
    </row>
    <row r="2" spans="1:52" s="3450" customFormat="1">
      <c r="A2" s="3449" t="s">
        <v>3572</v>
      </c>
      <c r="B2" s="3450" t="s">
        <v>3383</v>
      </c>
      <c r="C2" s="3450" t="s">
        <v>3573</v>
      </c>
      <c r="D2" s="3450" t="s">
        <v>3574</v>
      </c>
      <c r="E2" s="3450" t="s">
        <v>3575</v>
      </c>
      <c r="F2" s="3450" t="s">
        <v>3576</v>
      </c>
      <c r="G2" s="3450" t="s">
        <v>3577</v>
      </c>
      <c r="H2" s="3450" t="s">
        <v>3578</v>
      </c>
      <c r="I2" s="3450">
        <v>18388.669999999998</v>
      </c>
      <c r="J2" s="3450">
        <v>21809.34</v>
      </c>
      <c r="K2" s="3450">
        <v>1.05</v>
      </c>
      <c r="L2" s="3450" t="s">
        <v>3579</v>
      </c>
      <c r="M2" s="3450" t="s">
        <v>3580</v>
      </c>
      <c r="N2" s="3450" t="s">
        <v>3581</v>
      </c>
      <c r="O2" s="3450" t="s">
        <v>3582</v>
      </c>
      <c r="P2" s="3450" t="s">
        <v>3583</v>
      </c>
      <c r="Q2" s="3450">
        <v>12</v>
      </c>
      <c r="R2" s="3450" t="s">
        <v>3584</v>
      </c>
      <c r="S2" s="3450" t="s">
        <v>3585</v>
      </c>
      <c r="T2" s="3450" t="s">
        <v>3583</v>
      </c>
      <c r="U2" s="3450" t="s">
        <v>3583</v>
      </c>
      <c r="V2" s="3450" t="s">
        <v>3583</v>
      </c>
      <c r="W2" s="3450" t="s">
        <v>3583</v>
      </c>
      <c r="X2" s="3450">
        <v>0</v>
      </c>
      <c r="Y2" s="3450">
        <v>0</v>
      </c>
      <c r="Z2" s="3451">
        <v>45057.000497685185</v>
      </c>
      <c r="AA2" s="3451">
        <v>45077.000497685185</v>
      </c>
      <c r="AB2" s="3451">
        <v>45091.000497685185</v>
      </c>
      <c r="AC2" s="3451">
        <v>45091.000497685185</v>
      </c>
      <c r="AD2" s="3450" t="s">
        <v>3586</v>
      </c>
      <c r="AE2" s="3450" t="s">
        <v>3587</v>
      </c>
      <c r="AF2" s="3449" t="s">
        <v>3588</v>
      </c>
      <c r="AG2" s="3450" t="s">
        <v>3589</v>
      </c>
      <c r="AH2" s="3450" t="s">
        <v>3590</v>
      </c>
      <c r="AI2" s="3450">
        <v>170000</v>
      </c>
      <c r="AJ2" s="3450">
        <v>34000</v>
      </c>
      <c r="AK2" s="3450" t="s">
        <v>633</v>
      </c>
      <c r="AL2" s="3450">
        <v>195500</v>
      </c>
      <c r="AM2" s="3450">
        <v>6163.22</v>
      </c>
      <c r="AN2" s="3450">
        <v>7087.7</v>
      </c>
      <c r="AO2" s="3450">
        <v>77948</v>
      </c>
      <c r="AP2" s="3452">
        <v>89640</v>
      </c>
      <c r="AQ2" s="3450" t="s">
        <v>3583</v>
      </c>
      <c r="AR2" s="3450" t="s">
        <v>3583</v>
      </c>
      <c r="AS2" s="3450">
        <v>15</v>
      </c>
      <c r="AT2" s="3450" t="s">
        <v>3591</v>
      </c>
      <c r="AU2" s="3450">
        <v>195500</v>
      </c>
      <c r="AV2" s="3450" t="s">
        <v>3592</v>
      </c>
      <c r="AW2" s="3450">
        <v>121000</v>
      </c>
      <c r="AX2" s="3450">
        <v>89640</v>
      </c>
      <c r="AY2" s="3450">
        <v>15</v>
      </c>
      <c r="AZ2" s="3450">
        <v>31359</v>
      </c>
    </row>
    <row r="3" spans="1:52" s="3450" customFormat="1">
      <c r="A3" s="3449" t="s">
        <v>3593</v>
      </c>
      <c r="B3" s="3450" t="s">
        <v>3383</v>
      </c>
      <c r="C3" s="3450" t="s">
        <v>3594</v>
      </c>
      <c r="D3" s="3450" t="s">
        <v>3574</v>
      </c>
      <c r="E3" s="3450" t="s">
        <v>3575</v>
      </c>
      <c r="F3" s="3450" t="s">
        <v>3595</v>
      </c>
      <c r="G3" s="3450" t="s">
        <v>3577</v>
      </c>
      <c r="H3" s="3450" t="s">
        <v>3578</v>
      </c>
      <c r="I3" s="3450">
        <v>51339.15</v>
      </c>
      <c r="J3" s="3450">
        <v>77009</v>
      </c>
      <c r="K3" s="3450">
        <v>1.5</v>
      </c>
      <c r="L3" s="3450" t="s">
        <v>3579</v>
      </c>
      <c r="M3" s="3450" t="s">
        <v>3580</v>
      </c>
      <c r="N3" s="3450" t="s">
        <v>3581</v>
      </c>
      <c r="O3" s="3450" t="s">
        <v>3582</v>
      </c>
      <c r="P3" s="3450" t="s">
        <v>3583</v>
      </c>
      <c r="Q3" s="3450" t="s">
        <v>3596</v>
      </c>
      <c r="R3" s="3450" t="s">
        <v>3597</v>
      </c>
      <c r="S3" s="3450" t="s">
        <v>3598</v>
      </c>
      <c r="T3" s="3450" t="s">
        <v>3583</v>
      </c>
      <c r="U3" s="3450" t="s">
        <v>3583</v>
      </c>
      <c r="V3" s="3450">
        <v>0</v>
      </c>
      <c r="W3" s="3450">
        <v>0</v>
      </c>
      <c r="X3" s="3450">
        <v>0</v>
      </c>
      <c r="Y3" s="3450">
        <v>0</v>
      </c>
      <c r="Z3" s="3451">
        <v>43815.000497685185</v>
      </c>
      <c r="AA3" s="3451">
        <v>43836.000497685185</v>
      </c>
      <c r="AB3" s="3451">
        <v>43850.000497685185</v>
      </c>
      <c r="AC3" s="3451">
        <v>43850.000497685185</v>
      </c>
      <c r="AD3" s="3450" t="s">
        <v>3599</v>
      </c>
      <c r="AE3" s="3450" t="s">
        <v>3587</v>
      </c>
      <c r="AF3" s="3449" t="s">
        <v>3600</v>
      </c>
      <c r="AG3" s="3450" t="s">
        <v>3601</v>
      </c>
      <c r="AH3" s="3450" t="s">
        <v>3590</v>
      </c>
      <c r="AI3" s="3450">
        <v>539600</v>
      </c>
      <c r="AJ3" s="3450">
        <v>108000</v>
      </c>
      <c r="AK3" s="3450" t="s">
        <v>3602</v>
      </c>
      <c r="AL3" s="3450">
        <v>539600</v>
      </c>
      <c r="AM3" s="3450">
        <v>7007</v>
      </c>
      <c r="AN3" s="3450">
        <v>7007</v>
      </c>
      <c r="AO3" s="3450">
        <v>70070</v>
      </c>
      <c r="AP3" s="3452">
        <v>70070</v>
      </c>
      <c r="AQ3" s="3450" t="s">
        <v>3583</v>
      </c>
      <c r="AR3" s="3450" t="s">
        <v>3583</v>
      </c>
      <c r="AS3" s="3450">
        <v>0</v>
      </c>
      <c r="AT3" s="3450" t="s">
        <v>3591</v>
      </c>
      <c r="AU3" s="3450" t="s">
        <v>3582</v>
      </c>
      <c r="AV3" s="3450" t="s">
        <v>3583</v>
      </c>
      <c r="AW3" s="3450" t="s">
        <v>3582</v>
      </c>
      <c r="AX3" s="3450" t="s">
        <v>3583</v>
      </c>
      <c r="AY3" s="3450" t="s">
        <v>3583</v>
      </c>
      <c r="AZ3" s="3450" t="s">
        <v>3583</v>
      </c>
    </row>
    <row r="4" spans="1:52" s="3450" customFormat="1">
      <c r="A4" s="3449" t="s">
        <v>3603</v>
      </c>
      <c r="B4" s="3450" t="s">
        <v>3383</v>
      </c>
      <c r="C4" s="3450" t="s">
        <v>3604</v>
      </c>
      <c r="D4" s="3450" t="s">
        <v>3574</v>
      </c>
      <c r="E4" s="3450" t="s">
        <v>3575</v>
      </c>
      <c r="F4" s="3450" t="s">
        <v>3595</v>
      </c>
      <c r="G4" s="3450" t="s">
        <v>3577</v>
      </c>
      <c r="H4" s="3450" t="s">
        <v>3578</v>
      </c>
      <c r="I4" s="3450">
        <v>44507.26</v>
      </c>
      <c r="J4" s="3450">
        <v>66760</v>
      </c>
      <c r="K4" s="3450">
        <v>1.5</v>
      </c>
      <c r="L4" s="3450" t="s">
        <v>3579</v>
      </c>
      <c r="M4" s="3450" t="s">
        <v>3580</v>
      </c>
      <c r="N4" s="3450" t="s">
        <v>3581</v>
      </c>
      <c r="O4" s="3450" t="s">
        <v>3582</v>
      </c>
      <c r="P4" s="3450" t="s">
        <v>3583</v>
      </c>
      <c r="Q4" s="3450" t="s">
        <v>3596</v>
      </c>
      <c r="R4" s="3450" t="s">
        <v>3597</v>
      </c>
      <c r="S4" s="3450" t="s">
        <v>3598</v>
      </c>
      <c r="T4" s="3450" t="s">
        <v>3583</v>
      </c>
      <c r="U4" s="3450" t="s">
        <v>3583</v>
      </c>
      <c r="V4" s="3450">
        <v>0</v>
      </c>
      <c r="W4" s="3450">
        <v>0</v>
      </c>
      <c r="X4" s="3450">
        <v>0</v>
      </c>
      <c r="Y4" s="3450">
        <v>0</v>
      </c>
      <c r="Z4" s="3451">
        <v>43815.000497685185</v>
      </c>
      <c r="AA4" s="3451">
        <v>43836.000497685185</v>
      </c>
      <c r="AB4" s="3451">
        <v>43850.000497685185</v>
      </c>
      <c r="AC4" s="3451">
        <v>43850.000497685185</v>
      </c>
      <c r="AD4" s="3450" t="s">
        <v>3605</v>
      </c>
      <c r="AE4" s="3450" t="s">
        <v>3587</v>
      </c>
      <c r="AF4" s="3449" t="s">
        <v>3606</v>
      </c>
      <c r="AG4" s="3450" t="s">
        <v>3607</v>
      </c>
      <c r="AH4" s="3450" t="s">
        <v>3608</v>
      </c>
      <c r="AI4" s="3450">
        <v>467500</v>
      </c>
      <c r="AJ4" s="3450">
        <v>93500</v>
      </c>
      <c r="AK4" s="3450" t="s">
        <v>3602</v>
      </c>
      <c r="AL4" s="3450">
        <v>467500</v>
      </c>
      <c r="AM4" s="3450">
        <v>7002.6</v>
      </c>
      <c r="AN4" s="3450">
        <v>7002.6</v>
      </c>
      <c r="AO4" s="3450">
        <v>70027</v>
      </c>
      <c r="AP4" s="3452">
        <v>70027</v>
      </c>
      <c r="AQ4" s="3450" t="s">
        <v>3583</v>
      </c>
      <c r="AR4" s="3450" t="s">
        <v>3583</v>
      </c>
      <c r="AS4" s="3450">
        <v>0</v>
      </c>
      <c r="AT4" s="3450" t="s">
        <v>3591</v>
      </c>
      <c r="AU4" s="3450" t="s">
        <v>3582</v>
      </c>
      <c r="AV4" s="3450" t="s">
        <v>3583</v>
      </c>
      <c r="AW4" s="3450" t="s">
        <v>3582</v>
      </c>
      <c r="AX4" s="3450" t="s">
        <v>3583</v>
      </c>
      <c r="AY4" s="3450" t="s">
        <v>3583</v>
      </c>
      <c r="AZ4" s="3450" t="s">
        <v>3583</v>
      </c>
    </row>
    <row r="6" spans="1:52" s="3450" customFormat="1">
      <c r="A6" s="3453" t="s">
        <v>3520</v>
      </c>
      <c r="B6" s="3453" t="s">
        <v>3521</v>
      </c>
      <c r="C6" s="3453" t="s">
        <v>3522</v>
      </c>
      <c r="D6" s="3453" t="s">
        <v>3523</v>
      </c>
      <c r="E6" s="3453" t="s">
        <v>3524</v>
      </c>
      <c r="F6" s="3453" t="s">
        <v>3525</v>
      </c>
      <c r="G6" s="3453" t="s">
        <v>3526</v>
      </c>
      <c r="H6" s="3453" t="s">
        <v>3527</v>
      </c>
      <c r="I6" s="3453" t="s">
        <v>3528</v>
      </c>
      <c r="J6" s="3453" t="s">
        <v>3529</v>
      </c>
      <c r="K6" s="3453" t="s">
        <v>3530</v>
      </c>
      <c r="L6" s="3453" t="s">
        <v>3531</v>
      </c>
      <c r="M6" s="3453" t="s">
        <v>3532</v>
      </c>
      <c r="N6" s="3453" t="s">
        <v>3533</v>
      </c>
      <c r="O6" s="3453" t="s">
        <v>3534</v>
      </c>
      <c r="P6" s="3453" t="s">
        <v>3535</v>
      </c>
      <c r="Q6" s="3453" t="s">
        <v>3536</v>
      </c>
      <c r="R6" s="3453" t="s">
        <v>3537</v>
      </c>
      <c r="S6" s="3453" t="s">
        <v>3538</v>
      </c>
      <c r="T6" s="3453" t="s">
        <v>3539</v>
      </c>
      <c r="U6" s="3453" t="s">
        <v>3540</v>
      </c>
      <c r="V6" s="3453" t="s">
        <v>3541</v>
      </c>
      <c r="W6" s="3453" t="s">
        <v>3542</v>
      </c>
      <c r="X6" s="3453" t="s">
        <v>3543</v>
      </c>
      <c r="Y6" s="3453" t="s">
        <v>3544</v>
      </c>
      <c r="Z6" s="3453" t="s">
        <v>3545</v>
      </c>
      <c r="AA6" s="3453" t="s">
        <v>3546</v>
      </c>
      <c r="AB6" s="3453" t="s">
        <v>3547</v>
      </c>
      <c r="AC6" s="3453" t="s">
        <v>3548</v>
      </c>
      <c r="AD6" s="3453" t="s">
        <v>3549</v>
      </c>
      <c r="AE6" s="3453" t="s">
        <v>3550</v>
      </c>
      <c r="AF6" s="3453" t="s">
        <v>3551</v>
      </c>
      <c r="AG6" s="3453" t="s">
        <v>3552</v>
      </c>
      <c r="AH6" s="3453" t="s">
        <v>3553</v>
      </c>
      <c r="AI6" s="3453" t="s">
        <v>3554</v>
      </c>
      <c r="AJ6" s="3453" t="s">
        <v>3555</v>
      </c>
      <c r="AK6" s="3453" t="s">
        <v>3556</v>
      </c>
      <c r="AL6" s="3453" t="s">
        <v>3557</v>
      </c>
      <c r="AM6" s="3453" t="s">
        <v>3558</v>
      </c>
      <c r="AN6" s="3453" t="s">
        <v>3559</v>
      </c>
      <c r="AO6" s="3453" t="s">
        <v>3560</v>
      </c>
      <c r="AP6" s="3453" t="s">
        <v>3561</v>
      </c>
      <c r="AQ6" s="3453" t="s">
        <v>3562</v>
      </c>
      <c r="AR6" s="3453" t="s">
        <v>3563</v>
      </c>
      <c r="AS6" s="3453" t="s">
        <v>3564</v>
      </c>
      <c r="AT6" s="3453" t="s">
        <v>3565</v>
      </c>
      <c r="AU6" s="3450" t="s">
        <v>3566</v>
      </c>
      <c r="AV6" s="3450" t="s">
        <v>3567</v>
      </c>
      <c r="AW6" s="3450" t="s">
        <v>3568</v>
      </c>
      <c r="AX6" s="3450" t="s">
        <v>3569</v>
      </c>
      <c r="AY6" s="3450" t="s">
        <v>3570</v>
      </c>
      <c r="AZ6" s="3450" t="s">
        <v>3571</v>
      </c>
    </row>
    <row r="7" spans="1:52" s="3455" customFormat="1">
      <c r="A7" s="3453" t="s">
        <v>3384</v>
      </c>
      <c r="B7" s="3453" t="s">
        <v>3383</v>
      </c>
      <c r="C7" s="3453" t="s">
        <v>3609</v>
      </c>
      <c r="D7" s="3453" t="s">
        <v>3574</v>
      </c>
      <c r="E7" s="3453" t="s">
        <v>3575</v>
      </c>
      <c r="F7" s="3453" t="s">
        <v>3576</v>
      </c>
      <c r="G7" s="3453" t="s">
        <v>3577</v>
      </c>
      <c r="H7" s="3453" t="s">
        <v>3578</v>
      </c>
      <c r="I7" s="3453">
        <v>73887.38</v>
      </c>
      <c r="J7" s="3453">
        <v>89552.29</v>
      </c>
      <c r="K7" s="3453">
        <v>1.05</v>
      </c>
      <c r="L7" s="3453" t="s">
        <v>3579</v>
      </c>
      <c r="M7" s="3453" t="s">
        <v>3580</v>
      </c>
      <c r="N7" s="3453" t="s">
        <v>3581</v>
      </c>
      <c r="O7" s="3453" t="s">
        <v>3582</v>
      </c>
      <c r="P7" s="3453" t="s">
        <v>3583</v>
      </c>
      <c r="Q7" s="3453">
        <v>12</v>
      </c>
      <c r="R7" s="3453" t="s">
        <v>3584</v>
      </c>
      <c r="S7" s="3453" t="s">
        <v>3585</v>
      </c>
      <c r="T7" s="3453" t="s">
        <v>3583</v>
      </c>
      <c r="U7" s="3453" t="s">
        <v>3583</v>
      </c>
      <c r="V7" s="3453" t="s">
        <v>3583</v>
      </c>
      <c r="W7" s="3453" t="s">
        <v>3583</v>
      </c>
      <c r="X7" s="3453">
        <v>0</v>
      </c>
      <c r="Y7" s="3453">
        <v>0</v>
      </c>
      <c r="Z7" s="3454">
        <v>45057.000497685185</v>
      </c>
      <c r="AA7" s="3454">
        <v>45077.000497685185</v>
      </c>
      <c r="AB7" s="3454">
        <v>45091.000497685185</v>
      </c>
      <c r="AC7" s="3454">
        <v>45091.000497685185</v>
      </c>
      <c r="AD7" s="3453" t="s">
        <v>3610</v>
      </c>
      <c r="AE7" s="3453" t="s">
        <v>3587</v>
      </c>
      <c r="AF7" s="3453" t="s">
        <v>3611</v>
      </c>
      <c r="AG7" s="3453" t="s">
        <v>3612</v>
      </c>
      <c r="AH7" s="3453" t="s">
        <v>3590</v>
      </c>
      <c r="AI7" s="3453">
        <v>690000</v>
      </c>
      <c r="AJ7" s="3453">
        <v>138000</v>
      </c>
      <c r="AK7" s="3453" t="s">
        <v>633</v>
      </c>
      <c r="AL7" s="3453">
        <v>793500</v>
      </c>
      <c r="AM7" s="3453">
        <v>6225.69</v>
      </c>
      <c r="AN7" s="3453">
        <v>7159.54</v>
      </c>
      <c r="AO7" s="3453">
        <v>77050</v>
      </c>
      <c r="AP7" s="3453">
        <v>88607</v>
      </c>
      <c r="AQ7" s="3453" t="s">
        <v>3583</v>
      </c>
      <c r="AR7" s="3453" t="s">
        <v>3583</v>
      </c>
      <c r="AS7" s="3453">
        <v>15</v>
      </c>
      <c r="AT7" s="3453" t="s">
        <v>3591</v>
      </c>
      <c r="AU7" s="3455">
        <v>793500</v>
      </c>
      <c r="AV7" s="3455" t="s">
        <v>3592</v>
      </c>
      <c r="AW7" s="3455">
        <v>121000</v>
      </c>
      <c r="AX7" s="3455">
        <v>88607</v>
      </c>
      <c r="AY7" s="3455">
        <v>15</v>
      </c>
      <c r="AZ7" s="3455">
        <v>32392</v>
      </c>
    </row>
    <row r="8" spans="1:52" s="3450" customFormat="1">
      <c r="A8" s="3453" t="s">
        <v>3517</v>
      </c>
      <c r="B8" s="3453" t="s">
        <v>3383</v>
      </c>
      <c r="C8" s="3453" t="s">
        <v>3573</v>
      </c>
      <c r="D8" s="3453" t="s">
        <v>3574</v>
      </c>
      <c r="E8" s="3453" t="s">
        <v>3575</v>
      </c>
      <c r="F8" s="3453" t="s">
        <v>3576</v>
      </c>
      <c r="G8" s="3453" t="s">
        <v>3577</v>
      </c>
      <c r="H8" s="3453" t="s">
        <v>3578</v>
      </c>
      <c r="I8" s="3453">
        <v>18388.669999999998</v>
      </c>
      <c r="J8" s="3453">
        <v>21809.34</v>
      </c>
      <c r="K8" s="3453">
        <v>1.05</v>
      </c>
      <c r="L8" s="3453" t="s">
        <v>3579</v>
      </c>
      <c r="M8" s="3453" t="s">
        <v>3580</v>
      </c>
      <c r="N8" s="3453" t="s">
        <v>3581</v>
      </c>
      <c r="O8" s="3453" t="s">
        <v>3582</v>
      </c>
      <c r="P8" s="3453" t="s">
        <v>3583</v>
      </c>
      <c r="Q8" s="3453">
        <v>12</v>
      </c>
      <c r="R8" s="3453" t="s">
        <v>3584</v>
      </c>
      <c r="S8" s="3453" t="s">
        <v>3585</v>
      </c>
      <c r="T8" s="3453" t="s">
        <v>3583</v>
      </c>
      <c r="U8" s="3453" t="s">
        <v>3583</v>
      </c>
      <c r="V8" s="3453" t="s">
        <v>3583</v>
      </c>
      <c r="W8" s="3453" t="s">
        <v>3583</v>
      </c>
      <c r="X8" s="3453">
        <v>0</v>
      </c>
      <c r="Y8" s="3453">
        <v>0</v>
      </c>
      <c r="Z8" s="3454">
        <v>45057.000497685185</v>
      </c>
      <c r="AA8" s="3454">
        <v>45077.000497685185</v>
      </c>
      <c r="AB8" s="3454">
        <v>45091.000497685185</v>
      </c>
      <c r="AC8" s="3454">
        <v>45091.000497685185</v>
      </c>
      <c r="AD8" s="3453" t="s">
        <v>3586</v>
      </c>
      <c r="AE8" s="3453" t="s">
        <v>3587</v>
      </c>
      <c r="AF8" s="3453" t="s">
        <v>3613</v>
      </c>
      <c r="AG8" s="3453" t="s">
        <v>3589</v>
      </c>
      <c r="AH8" s="3453" t="s">
        <v>3590</v>
      </c>
      <c r="AI8" s="3453">
        <v>170000</v>
      </c>
      <c r="AJ8" s="3453">
        <v>34000</v>
      </c>
      <c r="AK8" s="3453" t="s">
        <v>633</v>
      </c>
      <c r="AL8" s="3453">
        <v>195500</v>
      </c>
      <c r="AM8" s="3453">
        <v>6163.22</v>
      </c>
      <c r="AN8" s="3453">
        <v>7087.7</v>
      </c>
      <c r="AO8" s="3453">
        <v>77948</v>
      </c>
      <c r="AP8" s="3453">
        <v>89640</v>
      </c>
      <c r="AQ8" s="3453" t="s">
        <v>3583</v>
      </c>
      <c r="AR8" s="3453" t="s">
        <v>3583</v>
      </c>
      <c r="AS8" s="3453">
        <v>15</v>
      </c>
      <c r="AT8" s="3453" t="s">
        <v>3591</v>
      </c>
      <c r="AU8" s="3450">
        <v>195500</v>
      </c>
      <c r="AV8" s="3450" t="s">
        <v>3592</v>
      </c>
      <c r="AW8" s="3450">
        <v>121000</v>
      </c>
      <c r="AX8" s="3450">
        <v>89640</v>
      </c>
      <c r="AY8" s="3450">
        <v>15</v>
      </c>
      <c r="AZ8" s="3450">
        <v>31359</v>
      </c>
    </row>
    <row r="9" spans="1:52" s="3450" customFormat="1">
      <c r="A9" s="3453" t="s">
        <v>3614</v>
      </c>
      <c r="B9" s="3453" t="s">
        <v>3383</v>
      </c>
      <c r="C9" s="3453" t="s">
        <v>3615</v>
      </c>
      <c r="D9" s="3453" t="s">
        <v>3574</v>
      </c>
      <c r="E9" s="3453" t="s">
        <v>3575</v>
      </c>
      <c r="F9" s="3453" t="s">
        <v>3576</v>
      </c>
      <c r="G9" s="3453" t="s">
        <v>3616</v>
      </c>
      <c r="H9" s="3453" t="s">
        <v>3578</v>
      </c>
      <c r="I9" s="3453">
        <v>47827.06</v>
      </c>
      <c r="J9" s="3453">
        <v>71740.59</v>
      </c>
      <c r="K9" s="3453">
        <v>1.5</v>
      </c>
      <c r="L9" s="3453" t="s">
        <v>3579</v>
      </c>
      <c r="M9" s="3453" t="s">
        <v>3580</v>
      </c>
      <c r="N9" s="3453" t="s">
        <v>3617</v>
      </c>
      <c r="O9" s="3453" t="s">
        <v>3582</v>
      </c>
      <c r="P9" s="3453" t="s">
        <v>3583</v>
      </c>
      <c r="Q9" s="3453" t="s">
        <v>3583</v>
      </c>
      <c r="R9" s="3453" t="s">
        <v>3618</v>
      </c>
      <c r="S9" s="3453" t="s">
        <v>3618</v>
      </c>
      <c r="T9" s="3453" t="s">
        <v>3583</v>
      </c>
      <c r="U9" s="3453" t="s">
        <v>3583</v>
      </c>
      <c r="V9" s="3453" t="s">
        <v>3583</v>
      </c>
      <c r="W9" s="3453" t="s">
        <v>3583</v>
      </c>
      <c r="X9" s="3453">
        <v>0</v>
      </c>
      <c r="Y9" s="3453">
        <v>0</v>
      </c>
      <c r="Z9" s="3454">
        <v>44791.000497685185</v>
      </c>
      <c r="AA9" s="3454">
        <v>44811.000497685185</v>
      </c>
      <c r="AB9" s="3454">
        <v>44826.000497685185</v>
      </c>
      <c r="AC9" s="3454">
        <v>44827.000497685185</v>
      </c>
      <c r="AD9" s="3453" t="s">
        <v>3619</v>
      </c>
      <c r="AE9" s="3453" t="s">
        <v>3587</v>
      </c>
      <c r="AF9" s="3453" t="s">
        <v>3620</v>
      </c>
      <c r="AG9" s="3453" t="s">
        <v>3621</v>
      </c>
      <c r="AH9" s="3453" t="s">
        <v>3622</v>
      </c>
      <c r="AI9" s="3453">
        <v>365000</v>
      </c>
      <c r="AJ9" s="3453">
        <v>73000</v>
      </c>
      <c r="AK9" s="3453" t="s">
        <v>3623</v>
      </c>
      <c r="AL9" s="3453">
        <v>419750</v>
      </c>
      <c r="AM9" s="3453">
        <v>5087.78</v>
      </c>
      <c r="AN9" s="3453">
        <v>5850.94</v>
      </c>
      <c r="AO9" s="3453">
        <v>50878</v>
      </c>
      <c r="AP9" s="3453">
        <v>58509</v>
      </c>
      <c r="AQ9" s="3453" t="s">
        <v>3583</v>
      </c>
      <c r="AR9" s="3453" t="s">
        <v>3583</v>
      </c>
      <c r="AS9" s="3453">
        <v>15</v>
      </c>
      <c r="AT9" s="3453" t="s">
        <v>3624</v>
      </c>
      <c r="AU9" s="3450">
        <v>419750</v>
      </c>
      <c r="AV9" s="3450" t="s">
        <v>3592</v>
      </c>
      <c r="AW9" s="3450" t="s">
        <v>3582</v>
      </c>
      <c r="AX9" s="3450">
        <v>58509</v>
      </c>
      <c r="AY9" s="3450">
        <v>15</v>
      </c>
      <c r="AZ9" s="3450">
        <v>26490</v>
      </c>
    </row>
    <row r="10" spans="1:52" s="3450" customFormat="1">
      <c r="A10" s="3453" t="s">
        <v>3625</v>
      </c>
      <c r="B10" s="3453" t="s">
        <v>3383</v>
      </c>
      <c r="C10" s="3453" t="s">
        <v>3626</v>
      </c>
      <c r="D10" s="3453" t="s">
        <v>3574</v>
      </c>
      <c r="E10" s="3453" t="s">
        <v>3575</v>
      </c>
      <c r="F10" s="3453" t="s">
        <v>3576</v>
      </c>
      <c r="G10" s="3453" t="s">
        <v>3627</v>
      </c>
      <c r="H10" s="3453" t="s">
        <v>3578</v>
      </c>
      <c r="I10" s="3453">
        <v>55613.32</v>
      </c>
      <c r="J10" s="3453">
        <v>83419.98</v>
      </c>
      <c r="K10" s="3453">
        <v>1.5</v>
      </c>
      <c r="L10" s="3453" t="s">
        <v>3579</v>
      </c>
      <c r="M10" s="3453" t="s">
        <v>3628</v>
      </c>
      <c r="N10" s="3453" t="s">
        <v>3629</v>
      </c>
      <c r="O10" s="3453" t="s">
        <v>3582</v>
      </c>
      <c r="P10" s="3453" t="s">
        <v>3583</v>
      </c>
      <c r="Q10" s="3453" t="s">
        <v>3630</v>
      </c>
      <c r="R10" s="3453" t="s">
        <v>3631</v>
      </c>
      <c r="S10" s="3453" t="s">
        <v>3632</v>
      </c>
      <c r="T10" s="3453" t="s">
        <v>3583</v>
      </c>
      <c r="U10" s="3453" t="s">
        <v>3583</v>
      </c>
      <c r="V10" s="3453" t="s">
        <v>3583</v>
      </c>
      <c r="W10" s="3453" t="s">
        <v>3583</v>
      </c>
      <c r="X10" s="3453">
        <v>0</v>
      </c>
      <c r="Y10" s="3453">
        <v>0</v>
      </c>
      <c r="Z10" s="3454">
        <v>44438.000497685185</v>
      </c>
      <c r="AA10" s="3454">
        <v>44462.000497685185</v>
      </c>
      <c r="AB10" s="3454">
        <v>44482.000497685185</v>
      </c>
      <c r="AC10" s="3454">
        <v>44482.000497685185</v>
      </c>
      <c r="AD10" s="3453" t="s">
        <v>3633</v>
      </c>
      <c r="AE10" s="3453" t="s">
        <v>3587</v>
      </c>
      <c r="AF10" s="3453" t="s">
        <v>3634</v>
      </c>
      <c r="AG10" s="3453" t="s">
        <v>3635</v>
      </c>
      <c r="AH10" s="3453" t="s">
        <v>3636</v>
      </c>
      <c r="AI10" s="3453">
        <v>423000</v>
      </c>
      <c r="AJ10" s="3453">
        <v>85000</v>
      </c>
      <c r="AK10" s="3453" t="s">
        <v>3637</v>
      </c>
      <c r="AL10" s="3453">
        <v>449500</v>
      </c>
      <c r="AM10" s="3453">
        <v>5070.7299999999996</v>
      </c>
      <c r="AN10" s="3453">
        <v>5388.4</v>
      </c>
      <c r="AO10" s="3453">
        <v>50707</v>
      </c>
      <c r="AP10" s="3453">
        <v>53884</v>
      </c>
      <c r="AQ10" s="3453" t="s">
        <v>3583</v>
      </c>
      <c r="AR10" s="3453" t="s">
        <v>3583</v>
      </c>
      <c r="AS10" s="3453">
        <v>6.26</v>
      </c>
      <c r="AT10" s="3453" t="s">
        <v>3638</v>
      </c>
      <c r="AU10" s="3450">
        <v>465300</v>
      </c>
      <c r="AV10" s="3450" t="s">
        <v>3639</v>
      </c>
      <c r="AW10" s="3450">
        <v>83000</v>
      </c>
      <c r="AX10" s="3450">
        <v>55778</v>
      </c>
      <c r="AY10" s="3450">
        <v>10</v>
      </c>
      <c r="AZ10" s="3450">
        <v>29116</v>
      </c>
    </row>
    <row r="11" spans="1:52" s="3450" customFormat="1">
      <c r="A11" s="3453" t="s">
        <v>3640</v>
      </c>
      <c r="B11" s="3453" t="s">
        <v>3383</v>
      </c>
      <c r="C11" s="3453" t="s">
        <v>3641</v>
      </c>
      <c r="D11" s="3453" t="s">
        <v>3574</v>
      </c>
      <c r="E11" s="3453" t="s">
        <v>3575</v>
      </c>
      <c r="F11" s="3453" t="s">
        <v>3642</v>
      </c>
      <c r="G11" s="3453" t="s">
        <v>3643</v>
      </c>
      <c r="H11" s="3453" t="s">
        <v>3578</v>
      </c>
      <c r="I11" s="3453">
        <v>25289.72</v>
      </c>
      <c r="J11" s="3453">
        <v>61500</v>
      </c>
      <c r="K11" s="3453">
        <v>2.4300000000000002</v>
      </c>
      <c r="L11" s="3453" t="s">
        <v>3579</v>
      </c>
      <c r="M11" s="3453" t="s">
        <v>3580</v>
      </c>
      <c r="N11" s="3453" t="s">
        <v>3629</v>
      </c>
      <c r="O11" s="3453" t="s">
        <v>3582</v>
      </c>
      <c r="P11" s="3453" t="s">
        <v>3583</v>
      </c>
      <c r="Q11" s="3453" t="s">
        <v>3644</v>
      </c>
      <c r="R11" s="3453" t="s">
        <v>3631</v>
      </c>
      <c r="S11" s="3453" t="s">
        <v>3631</v>
      </c>
      <c r="T11" s="3453" t="s">
        <v>3645</v>
      </c>
      <c r="U11" s="3453" t="s">
        <v>3646</v>
      </c>
      <c r="V11" s="3453" t="s">
        <v>3583</v>
      </c>
      <c r="W11" s="3453" t="s">
        <v>3583</v>
      </c>
      <c r="X11" s="3453">
        <v>0</v>
      </c>
      <c r="Y11" s="3453">
        <v>0</v>
      </c>
      <c r="Z11" s="3454">
        <v>44438.000497685185</v>
      </c>
      <c r="AA11" s="3454">
        <v>44462.000497685185</v>
      </c>
      <c r="AB11" s="3454">
        <v>44482.000497685185</v>
      </c>
      <c r="AC11" s="3454">
        <v>44487.000497685185</v>
      </c>
      <c r="AD11" s="3453" t="s">
        <v>3647</v>
      </c>
      <c r="AE11" s="3453" t="s">
        <v>3587</v>
      </c>
      <c r="AF11" s="3453" t="s">
        <v>3648</v>
      </c>
      <c r="AG11" s="3453" t="s">
        <v>3649</v>
      </c>
      <c r="AH11" s="3453" t="s">
        <v>3650</v>
      </c>
      <c r="AI11" s="3453">
        <v>419000</v>
      </c>
      <c r="AJ11" s="3453">
        <v>84000</v>
      </c>
      <c r="AK11" s="3453" t="s">
        <v>3637</v>
      </c>
      <c r="AL11" s="3453">
        <v>444000</v>
      </c>
      <c r="AM11" s="3453">
        <v>11045.33</v>
      </c>
      <c r="AN11" s="3453">
        <v>11704.36</v>
      </c>
      <c r="AO11" s="3453">
        <v>68130</v>
      </c>
      <c r="AP11" s="3453">
        <v>72195</v>
      </c>
      <c r="AQ11" s="3453" t="s">
        <v>3583</v>
      </c>
      <c r="AR11" s="3453" t="s">
        <v>3583</v>
      </c>
      <c r="AS11" s="3453">
        <v>5.97</v>
      </c>
      <c r="AT11" s="3453" t="s">
        <v>3651</v>
      </c>
      <c r="AU11" s="3450">
        <v>444000</v>
      </c>
      <c r="AV11" s="3450" t="s">
        <v>3592</v>
      </c>
      <c r="AW11" s="3450">
        <v>112000</v>
      </c>
      <c r="AX11" s="3450">
        <v>72195</v>
      </c>
      <c r="AY11" s="3450">
        <v>5.97</v>
      </c>
      <c r="AZ11" s="3450">
        <v>21572</v>
      </c>
    </row>
    <row r="12" spans="1:52" s="3450" customFormat="1">
      <c r="A12" s="3453" t="s">
        <v>3652</v>
      </c>
      <c r="B12" s="3453" t="s">
        <v>3383</v>
      </c>
      <c r="C12" s="3453" t="s">
        <v>3653</v>
      </c>
      <c r="D12" s="3453" t="s">
        <v>3574</v>
      </c>
      <c r="E12" s="3453" t="s">
        <v>3575</v>
      </c>
      <c r="F12" s="3453" t="s">
        <v>3654</v>
      </c>
      <c r="G12" s="3453" t="s">
        <v>3655</v>
      </c>
      <c r="H12" s="3453" t="s">
        <v>3578</v>
      </c>
      <c r="I12" s="3453">
        <v>57020.91</v>
      </c>
      <c r="J12" s="3453">
        <v>92371</v>
      </c>
      <c r="K12" s="3453" t="s">
        <v>3656</v>
      </c>
      <c r="L12" s="3453" t="s">
        <v>3579</v>
      </c>
      <c r="M12" s="3453" t="s">
        <v>3580</v>
      </c>
      <c r="N12" s="3453" t="s">
        <v>3657</v>
      </c>
      <c r="O12" s="3453">
        <v>0</v>
      </c>
      <c r="P12" s="3453" t="s">
        <v>3583</v>
      </c>
      <c r="Q12" s="3453" t="s">
        <v>3658</v>
      </c>
      <c r="R12" s="3453" t="s">
        <v>3659</v>
      </c>
      <c r="S12" s="3453" t="s">
        <v>3659</v>
      </c>
      <c r="T12" s="3453" t="s">
        <v>3583</v>
      </c>
      <c r="U12" s="3453" t="s">
        <v>3583</v>
      </c>
      <c r="V12" s="3453">
        <v>0</v>
      </c>
      <c r="W12" s="3453">
        <v>0</v>
      </c>
      <c r="X12" s="3453">
        <v>0</v>
      </c>
      <c r="Y12" s="3453">
        <v>0</v>
      </c>
      <c r="Z12" s="3454">
        <v>44286.000497685185</v>
      </c>
      <c r="AA12" s="3454">
        <v>44308.000497685185</v>
      </c>
      <c r="AB12" s="3454">
        <v>44324.000497685185</v>
      </c>
      <c r="AC12" s="3454">
        <v>44342.000497685185</v>
      </c>
      <c r="AD12" s="3453" t="s">
        <v>3660</v>
      </c>
      <c r="AE12" s="3453" t="s">
        <v>3587</v>
      </c>
      <c r="AF12" s="3453" t="s">
        <v>3661</v>
      </c>
      <c r="AG12" s="3453" t="s">
        <v>3662</v>
      </c>
      <c r="AH12" s="3453" t="s">
        <v>3663</v>
      </c>
      <c r="AI12" s="3453">
        <v>621000</v>
      </c>
      <c r="AJ12" s="3453">
        <v>125000</v>
      </c>
      <c r="AK12" s="3453" t="s">
        <v>3664</v>
      </c>
      <c r="AL12" s="3453">
        <v>637000</v>
      </c>
      <c r="AM12" s="3453">
        <v>7260.49</v>
      </c>
      <c r="AN12" s="3453">
        <v>7447.56</v>
      </c>
      <c r="AO12" s="3453">
        <v>67229</v>
      </c>
      <c r="AP12" s="3453">
        <v>68961</v>
      </c>
      <c r="AQ12" s="3453" t="s">
        <v>3583</v>
      </c>
      <c r="AR12" s="3453" t="s">
        <v>3583</v>
      </c>
      <c r="AS12" s="3453">
        <v>2.58</v>
      </c>
      <c r="AT12" s="3453" t="s">
        <v>3591</v>
      </c>
      <c r="AU12" s="3450">
        <v>637000</v>
      </c>
      <c r="AV12" s="3450" t="s">
        <v>3592</v>
      </c>
      <c r="AW12" s="3450" t="s">
        <v>3582</v>
      </c>
      <c r="AX12" s="3450">
        <v>68961</v>
      </c>
      <c r="AY12" s="3450">
        <v>2.58</v>
      </c>
      <c r="AZ12" s="3450" t="s">
        <v>3583</v>
      </c>
    </row>
    <row r="13" spans="1:52" s="3450" customFormat="1">
      <c r="A13" s="3453" t="s">
        <v>3665</v>
      </c>
      <c r="B13" s="3453" t="s">
        <v>3383</v>
      </c>
      <c r="C13" s="3453" t="s">
        <v>3666</v>
      </c>
      <c r="D13" s="3453" t="s">
        <v>3574</v>
      </c>
      <c r="E13" s="3453" t="s">
        <v>3575</v>
      </c>
      <c r="F13" s="3453" t="s">
        <v>3654</v>
      </c>
      <c r="G13" s="3453" t="s">
        <v>3655</v>
      </c>
      <c r="H13" s="3453" t="s">
        <v>3578</v>
      </c>
      <c r="I13" s="3453">
        <v>52686.19</v>
      </c>
      <c r="J13" s="3453">
        <v>83160</v>
      </c>
      <c r="K13" s="3453" t="s">
        <v>3656</v>
      </c>
      <c r="L13" s="3453" t="s">
        <v>3579</v>
      </c>
      <c r="M13" s="3453" t="s">
        <v>3580</v>
      </c>
      <c r="N13" s="3453" t="s">
        <v>3657</v>
      </c>
      <c r="O13" s="3453" t="s">
        <v>3582</v>
      </c>
      <c r="P13" s="3453" t="s">
        <v>3583</v>
      </c>
      <c r="Q13" s="3453" t="s">
        <v>3658</v>
      </c>
      <c r="R13" s="3453" t="s">
        <v>3659</v>
      </c>
      <c r="S13" s="3453" t="s">
        <v>3659</v>
      </c>
      <c r="T13" s="3453" t="s">
        <v>3583</v>
      </c>
      <c r="U13" s="3453" t="s">
        <v>3583</v>
      </c>
      <c r="V13" s="3453">
        <v>0</v>
      </c>
      <c r="W13" s="3453">
        <v>0</v>
      </c>
      <c r="X13" s="3453">
        <v>0</v>
      </c>
      <c r="Y13" s="3453">
        <v>0</v>
      </c>
      <c r="Z13" s="3454">
        <v>44286.000497685185</v>
      </c>
      <c r="AA13" s="3454">
        <v>44308.000497685185</v>
      </c>
      <c r="AB13" s="3454">
        <v>44324.000497685185</v>
      </c>
      <c r="AC13" s="3454">
        <v>44342.000497685185</v>
      </c>
      <c r="AD13" s="3453" t="s">
        <v>3667</v>
      </c>
      <c r="AE13" s="3453" t="s">
        <v>3587</v>
      </c>
      <c r="AF13" s="3453" t="s">
        <v>3668</v>
      </c>
      <c r="AG13" s="3453" t="s">
        <v>3669</v>
      </c>
      <c r="AH13" s="3453" t="s">
        <v>3670</v>
      </c>
      <c r="AI13" s="3453">
        <v>559000</v>
      </c>
      <c r="AJ13" s="3453">
        <v>112000</v>
      </c>
      <c r="AK13" s="3453" t="s">
        <v>3664</v>
      </c>
      <c r="AL13" s="3453">
        <v>573000</v>
      </c>
      <c r="AM13" s="3453">
        <v>7073.33</v>
      </c>
      <c r="AN13" s="3453">
        <v>7250.48</v>
      </c>
      <c r="AO13" s="3453">
        <v>67220</v>
      </c>
      <c r="AP13" s="3453">
        <v>68903</v>
      </c>
      <c r="AQ13" s="3453" t="s">
        <v>3583</v>
      </c>
      <c r="AR13" s="3453" t="s">
        <v>3583</v>
      </c>
      <c r="AS13" s="3453">
        <v>2.5</v>
      </c>
      <c r="AT13" s="3453" t="s">
        <v>3591</v>
      </c>
      <c r="AU13" s="3450">
        <v>573000</v>
      </c>
      <c r="AV13" s="3450" t="s">
        <v>3592</v>
      </c>
      <c r="AW13" s="3450" t="s">
        <v>3582</v>
      </c>
      <c r="AX13" s="3450">
        <v>68903</v>
      </c>
      <c r="AY13" s="3450">
        <v>2.5</v>
      </c>
      <c r="AZ13" s="3450" t="s">
        <v>3583</v>
      </c>
    </row>
    <row r="14" spans="1:52" s="3450" customFormat="1">
      <c r="A14" s="3453" t="s">
        <v>3518</v>
      </c>
      <c r="B14" s="3453" t="s">
        <v>3383</v>
      </c>
      <c r="C14" s="3453" t="s">
        <v>3594</v>
      </c>
      <c r="D14" s="3453" t="s">
        <v>3574</v>
      </c>
      <c r="E14" s="3453" t="s">
        <v>3575</v>
      </c>
      <c r="F14" s="3453" t="s">
        <v>3595</v>
      </c>
      <c r="G14" s="3453" t="s">
        <v>3577</v>
      </c>
      <c r="H14" s="3453" t="s">
        <v>3578</v>
      </c>
      <c r="I14" s="3453">
        <v>51339.15</v>
      </c>
      <c r="J14" s="3453">
        <v>77009</v>
      </c>
      <c r="K14" s="3453" t="s">
        <v>3671</v>
      </c>
      <c r="L14" s="3453" t="s">
        <v>3579</v>
      </c>
      <c r="M14" s="3453" t="s">
        <v>3580</v>
      </c>
      <c r="N14" s="3453" t="s">
        <v>3581</v>
      </c>
      <c r="O14" s="3453" t="s">
        <v>3582</v>
      </c>
      <c r="P14" s="3453" t="s">
        <v>3583</v>
      </c>
      <c r="Q14" s="3453" t="s">
        <v>3596</v>
      </c>
      <c r="R14" s="3453" t="s">
        <v>3597</v>
      </c>
      <c r="S14" s="3453" t="s">
        <v>3598</v>
      </c>
      <c r="T14" s="3453" t="s">
        <v>3583</v>
      </c>
      <c r="U14" s="3453" t="s">
        <v>3583</v>
      </c>
      <c r="V14" s="3453">
        <v>0</v>
      </c>
      <c r="W14" s="3453">
        <v>0</v>
      </c>
      <c r="X14" s="3453">
        <v>0</v>
      </c>
      <c r="Y14" s="3453">
        <v>0</v>
      </c>
      <c r="Z14" s="3454">
        <v>43815.000497685185</v>
      </c>
      <c r="AA14" s="3454">
        <v>43836.000497685185</v>
      </c>
      <c r="AB14" s="3454">
        <v>43850.000497685185</v>
      </c>
      <c r="AC14" s="3454">
        <v>43850.000497685185</v>
      </c>
      <c r="AD14" s="3453" t="s">
        <v>3599</v>
      </c>
      <c r="AE14" s="3453" t="s">
        <v>3587</v>
      </c>
      <c r="AF14" s="3453" t="s">
        <v>3672</v>
      </c>
      <c r="AG14" s="3453" t="s">
        <v>3601</v>
      </c>
      <c r="AH14" s="3453" t="s">
        <v>3590</v>
      </c>
      <c r="AI14" s="3453">
        <v>539600</v>
      </c>
      <c r="AJ14" s="3453">
        <v>108000</v>
      </c>
      <c r="AK14" s="3453" t="s">
        <v>3602</v>
      </c>
      <c r="AL14" s="3453">
        <v>539600</v>
      </c>
      <c r="AM14" s="3453">
        <v>7007</v>
      </c>
      <c r="AN14" s="3453">
        <v>7007</v>
      </c>
      <c r="AO14" s="3453">
        <v>70070</v>
      </c>
      <c r="AP14" s="3453">
        <v>70070</v>
      </c>
      <c r="AQ14" s="3453" t="s">
        <v>3583</v>
      </c>
      <c r="AR14" s="3453" t="s">
        <v>3583</v>
      </c>
      <c r="AS14" s="3453">
        <v>0</v>
      </c>
      <c r="AT14" s="3453" t="s">
        <v>3591</v>
      </c>
      <c r="AU14" s="3450" t="s">
        <v>3582</v>
      </c>
      <c r="AV14" s="3450" t="s">
        <v>3583</v>
      </c>
      <c r="AW14" s="3450" t="s">
        <v>3582</v>
      </c>
      <c r="AX14" s="3450" t="s">
        <v>3583</v>
      </c>
      <c r="AY14" s="3450" t="s">
        <v>3583</v>
      </c>
      <c r="AZ14" s="3450" t="s">
        <v>3583</v>
      </c>
    </row>
    <row r="15" spans="1:52" s="3450" customFormat="1">
      <c r="A15" s="3453" t="s">
        <v>3519</v>
      </c>
      <c r="B15" s="3453" t="s">
        <v>3383</v>
      </c>
      <c r="C15" s="3453" t="s">
        <v>3604</v>
      </c>
      <c r="D15" s="3453" t="s">
        <v>3574</v>
      </c>
      <c r="E15" s="3453" t="s">
        <v>3575</v>
      </c>
      <c r="F15" s="3453" t="s">
        <v>3595</v>
      </c>
      <c r="G15" s="3453" t="s">
        <v>3577</v>
      </c>
      <c r="H15" s="3453" t="s">
        <v>3578</v>
      </c>
      <c r="I15" s="3453">
        <v>44507.26</v>
      </c>
      <c r="J15" s="3453">
        <v>66760</v>
      </c>
      <c r="K15" s="3453" t="s">
        <v>3671</v>
      </c>
      <c r="L15" s="3453" t="s">
        <v>3579</v>
      </c>
      <c r="M15" s="3453" t="s">
        <v>3580</v>
      </c>
      <c r="N15" s="3453" t="s">
        <v>3581</v>
      </c>
      <c r="O15" s="3453" t="s">
        <v>3582</v>
      </c>
      <c r="P15" s="3453" t="s">
        <v>3583</v>
      </c>
      <c r="Q15" s="3453" t="s">
        <v>3596</v>
      </c>
      <c r="R15" s="3453" t="s">
        <v>3597</v>
      </c>
      <c r="S15" s="3453" t="s">
        <v>3598</v>
      </c>
      <c r="T15" s="3453" t="s">
        <v>3583</v>
      </c>
      <c r="U15" s="3453" t="s">
        <v>3583</v>
      </c>
      <c r="V15" s="3453">
        <v>0</v>
      </c>
      <c r="W15" s="3453">
        <v>0</v>
      </c>
      <c r="X15" s="3453">
        <v>0</v>
      </c>
      <c r="Y15" s="3453">
        <v>0</v>
      </c>
      <c r="Z15" s="3454">
        <v>43815.000497685185</v>
      </c>
      <c r="AA15" s="3454">
        <v>43836.000497685185</v>
      </c>
      <c r="AB15" s="3454">
        <v>43850.000497685185</v>
      </c>
      <c r="AC15" s="3454">
        <v>43850.000497685185</v>
      </c>
      <c r="AD15" s="3453" t="s">
        <v>3605</v>
      </c>
      <c r="AE15" s="3453" t="s">
        <v>3587</v>
      </c>
      <c r="AF15" s="3453" t="s">
        <v>3673</v>
      </c>
      <c r="AG15" s="3453" t="s">
        <v>3607</v>
      </c>
      <c r="AH15" s="3453" t="s">
        <v>3608</v>
      </c>
      <c r="AI15" s="3453">
        <v>467500</v>
      </c>
      <c r="AJ15" s="3453">
        <v>93500</v>
      </c>
      <c r="AK15" s="3453" t="s">
        <v>3602</v>
      </c>
      <c r="AL15" s="3453">
        <v>467500</v>
      </c>
      <c r="AM15" s="3453">
        <v>7002.6</v>
      </c>
      <c r="AN15" s="3453">
        <v>7002.6</v>
      </c>
      <c r="AO15" s="3453">
        <v>70027</v>
      </c>
      <c r="AP15" s="3453">
        <v>70027</v>
      </c>
      <c r="AQ15" s="3453" t="s">
        <v>3583</v>
      </c>
      <c r="AR15" s="3453" t="s">
        <v>3583</v>
      </c>
      <c r="AS15" s="3453">
        <v>0</v>
      </c>
      <c r="AT15" s="3453" t="s">
        <v>3591</v>
      </c>
      <c r="AU15" s="3450" t="s">
        <v>3582</v>
      </c>
      <c r="AV15" s="3450" t="s">
        <v>3583</v>
      </c>
      <c r="AW15" s="3450" t="s">
        <v>3582</v>
      </c>
      <c r="AX15" s="3450" t="s">
        <v>3583</v>
      </c>
      <c r="AY15" s="3450" t="s">
        <v>3583</v>
      </c>
      <c r="AZ15" s="3450" t="s">
        <v>3583</v>
      </c>
    </row>
    <row r="16" spans="1:52" s="3450" customFormat="1">
      <c r="A16" s="3450" t="s">
        <v>3674</v>
      </c>
      <c r="B16" s="3450" t="s">
        <v>3383</v>
      </c>
      <c r="C16" s="3450" t="s">
        <v>3675</v>
      </c>
      <c r="D16" s="3450" t="s">
        <v>3574</v>
      </c>
      <c r="E16" s="3450" t="s">
        <v>3575</v>
      </c>
      <c r="F16" s="3450" t="s">
        <v>3576</v>
      </c>
      <c r="G16" s="3450" t="s">
        <v>3676</v>
      </c>
      <c r="H16" s="3450" t="s">
        <v>3578</v>
      </c>
      <c r="I16" s="3450">
        <v>74772.84</v>
      </c>
      <c r="J16" s="3450">
        <v>134591</v>
      </c>
      <c r="K16" s="3450">
        <v>1.8</v>
      </c>
      <c r="L16" s="3450" t="s">
        <v>3579</v>
      </c>
      <c r="M16" s="3450" t="s">
        <v>3580</v>
      </c>
      <c r="N16" s="3450" t="s">
        <v>3581</v>
      </c>
      <c r="O16" s="3450" t="s">
        <v>3582</v>
      </c>
      <c r="P16" s="3450" t="s">
        <v>3677</v>
      </c>
      <c r="Q16" s="3450" t="s">
        <v>3678</v>
      </c>
      <c r="R16" s="3450" t="s">
        <v>3679</v>
      </c>
      <c r="S16" s="3450" t="s">
        <v>3680</v>
      </c>
      <c r="T16" s="3450" t="s">
        <v>3583</v>
      </c>
      <c r="U16" s="3450" t="s">
        <v>3583</v>
      </c>
      <c r="V16" s="3450">
        <v>0</v>
      </c>
      <c r="W16" s="3450">
        <v>0</v>
      </c>
      <c r="X16" s="3450">
        <v>0</v>
      </c>
      <c r="Y16" s="3450">
        <v>0</v>
      </c>
      <c r="Z16" s="3451">
        <v>43077.000497685185</v>
      </c>
      <c r="AA16" s="3451">
        <v>43097.000497685185</v>
      </c>
      <c r="AB16" s="3451">
        <v>43112.000497685185</v>
      </c>
      <c r="AC16" s="3451">
        <v>43112.000497685185</v>
      </c>
      <c r="AD16" s="3450" t="s">
        <v>3681</v>
      </c>
      <c r="AE16" s="3450" t="s">
        <v>3587</v>
      </c>
      <c r="AF16" s="3450" t="s">
        <v>3682</v>
      </c>
      <c r="AG16" s="3450" t="s">
        <v>3683</v>
      </c>
      <c r="AH16" s="3450" t="s">
        <v>3622</v>
      </c>
      <c r="AI16" s="3450">
        <v>472300</v>
      </c>
      <c r="AJ16" s="3450">
        <v>142000</v>
      </c>
      <c r="AK16" s="3450" t="s">
        <v>633</v>
      </c>
      <c r="AL16" s="3450">
        <v>550000</v>
      </c>
      <c r="AM16" s="3450">
        <v>4210.9799999999996</v>
      </c>
      <c r="AN16" s="3450">
        <v>4903.74</v>
      </c>
      <c r="AO16" s="3450">
        <v>35092</v>
      </c>
      <c r="AP16" s="3452">
        <v>40865</v>
      </c>
      <c r="AQ16" s="3450" t="s">
        <v>3583</v>
      </c>
      <c r="AR16" s="3450" t="s">
        <v>3583</v>
      </c>
      <c r="AS16" s="3450">
        <v>16.45</v>
      </c>
      <c r="AT16" s="3450" t="s">
        <v>3591</v>
      </c>
      <c r="AU16" s="3450" t="s">
        <v>3582</v>
      </c>
      <c r="AV16" s="3450" t="s">
        <v>3583</v>
      </c>
      <c r="AW16" s="3450">
        <v>53000</v>
      </c>
      <c r="AX16" s="3450" t="s">
        <v>3583</v>
      </c>
      <c r="AY16" s="3450" t="s">
        <v>3583</v>
      </c>
      <c r="AZ16" s="3450">
        <v>12136</v>
      </c>
    </row>
    <row r="17" spans="1:52" s="3450" customFormat="1">
      <c r="A17" s="3450" t="s">
        <v>3684</v>
      </c>
      <c r="B17" s="3450" t="s">
        <v>3383</v>
      </c>
      <c r="C17" s="3450" t="s">
        <v>3685</v>
      </c>
      <c r="D17" s="3450" t="s">
        <v>3574</v>
      </c>
      <c r="E17" s="3450" t="s">
        <v>3575</v>
      </c>
      <c r="F17" s="3450" t="s">
        <v>3686</v>
      </c>
      <c r="G17" s="3450" t="s">
        <v>3687</v>
      </c>
      <c r="H17" s="3450" t="s">
        <v>3578</v>
      </c>
      <c r="I17" s="3450">
        <v>6180.98</v>
      </c>
      <c r="J17" s="3450">
        <v>32400</v>
      </c>
      <c r="K17" s="3450">
        <v>5.24</v>
      </c>
      <c r="L17" s="3450" t="s">
        <v>3688</v>
      </c>
      <c r="M17" s="3450" t="s">
        <v>3580</v>
      </c>
      <c r="N17" s="3450" t="s">
        <v>3581</v>
      </c>
      <c r="O17" s="3450" t="s">
        <v>3582</v>
      </c>
      <c r="P17" s="3450" t="s">
        <v>3583</v>
      </c>
      <c r="Q17" s="3450" t="s">
        <v>3583</v>
      </c>
      <c r="R17" s="3450" t="s">
        <v>3583</v>
      </c>
      <c r="S17" s="3450" t="s">
        <v>3583</v>
      </c>
      <c r="T17" s="3450" t="s">
        <v>3689</v>
      </c>
      <c r="U17" s="3450" t="s">
        <v>3690</v>
      </c>
      <c r="V17" s="3450">
        <v>13920.98</v>
      </c>
      <c r="W17" s="3450">
        <v>13920.98</v>
      </c>
      <c r="X17" s="3450">
        <v>0</v>
      </c>
      <c r="Y17" s="3450">
        <v>0</v>
      </c>
      <c r="Z17" s="3451">
        <v>43076.000497685185</v>
      </c>
      <c r="AA17" s="3451">
        <v>43098.000497685185</v>
      </c>
      <c r="AB17" s="3451">
        <v>43098.000497685185</v>
      </c>
      <c r="AC17" s="3451">
        <v>43098.000497685185</v>
      </c>
      <c r="AD17" s="3450" t="s">
        <v>3691</v>
      </c>
      <c r="AE17" s="3450" t="s">
        <v>3587</v>
      </c>
      <c r="AF17" s="3450" t="s">
        <v>3692</v>
      </c>
      <c r="AG17" s="3450" t="s">
        <v>3583</v>
      </c>
      <c r="AH17" s="3450" t="s">
        <v>3583</v>
      </c>
      <c r="AI17" s="3450" t="s">
        <v>3583</v>
      </c>
      <c r="AJ17" s="3450">
        <v>2400</v>
      </c>
      <c r="AK17" s="3450" t="s">
        <v>633</v>
      </c>
      <c r="AL17" s="3450" t="s">
        <v>3583</v>
      </c>
      <c r="AM17" s="3450" t="s">
        <v>3583</v>
      </c>
      <c r="AN17" s="3450" t="s">
        <v>3583</v>
      </c>
      <c r="AO17" s="3450" t="s">
        <v>3583</v>
      </c>
      <c r="AP17" s="3452" t="s">
        <v>3583</v>
      </c>
      <c r="AQ17" s="3450" t="s">
        <v>3583</v>
      </c>
      <c r="AR17" s="3450" t="s">
        <v>3583</v>
      </c>
      <c r="AS17" s="3450">
        <v>0</v>
      </c>
      <c r="AT17" s="3450" t="s">
        <v>3591</v>
      </c>
      <c r="AU17" s="3450" t="s">
        <v>3582</v>
      </c>
      <c r="AV17" s="3450" t="s">
        <v>3583</v>
      </c>
      <c r="AW17" s="3450" t="s">
        <v>3582</v>
      </c>
      <c r="AX17" s="3450" t="s">
        <v>3583</v>
      </c>
      <c r="AY17" s="3450" t="s">
        <v>3583</v>
      </c>
      <c r="AZ17" s="3450" t="s">
        <v>3583</v>
      </c>
    </row>
    <row r="18" spans="1:52" s="3450" customFormat="1">
      <c r="A18" s="3450" t="s">
        <v>3693</v>
      </c>
      <c r="B18" s="3450" t="s">
        <v>3383</v>
      </c>
      <c r="C18" s="3450" t="s">
        <v>3694</v>
      </c>
      <c r="D18" s="3450" t="s">
        <v>3574</v>
      </c>
      <c r="E18" s="3450" t="s">
        <v>3575</v>
      </c>
      <c r="F18" s="3450" t="s">
        <v>3576</v>
      </c>
      <c r="G18" s="3450" t="s">
        <v>3695</v>
      </c>
      <c r="H18" s="3450" t="s">
        <v>3578</v>
      </c>
      <c r="I18" s="3450">
        <v>84786.55</v>
      </c>
      <c r="J18" s="3450">
        <v>186530</v>
      </c>
      <c r="K18" s="3450">
        <v>2.2000000000000002</v>
      </c>
      <c r="L18" s="3450" t="s">
        <v>3579</v>
      </c>
      <c r="M18" s="3450" t="s">
        <v>3580</v>
      </c>
      <c r="N18" s="3450" t="s">
        <v>3581</v>
      </c>
      <c r="O18" s="3450" t="s">
        <v>3582</v>
      </c>
      <c r="P18" s="3450" t="s">
        <v>3677</v>
      </c>
      <c r="Q18" s="3450" t="s">
        <v>3696</v>
      </c>
      <c r="R18" s="3450" t="s">
        <v>3697</v>
      </c>
      <c r="S18" s="3450" t="s">
        <v>3697</v>
      </c>
      <c r="T18" s="3450" t="s">
        <v>3698</v>
      </c>
      <c r="U18" s="3450" t="s">
        <v>3583</v>
      </c>
      <c r="V18" s="3450">
        <v>0</v>
      </c>
      <c r="W18" s="3450">
        <v>0</v>
      </c>
      <c r="X18" s="3450">
        <v>186530</v>
      </c>
      <c r="Y18" s="3450">
        <v>186530</v>
      </c>
      <c r="Z18" s="3451">
        <v>43008.000497685185</v>
      </c>
      <c r="AA18" s="3451">
        <v>43028.000497685185</v>
      </c>
      <c r="AB18" s="3451">
        <v>43042.000497685185</v>
      </c>
      <c r="AC18" s="3451">
        <v>43042.000497685185</v>
      </c>
      <c r="AD18" s="3450" t="s">
        <v>3699</v>
      </c>
      <c r="AE18" s="3450" t="s">
        <v>3587</v>
      </c>
      <c r="AF18" s="3450" t="s">
        <v>3700</v>
      </c>
      <c r="AG18" s="3450" t="s">
        <v>3701</v>
      </c>
      <c r="AH18" s="3450" t="s">
        <v>3702</v>
      </c>
      <c r="AI18" s="3450">
        <v>532800</v>
      </c>
      <c r="AJ18" s="3450">
        <v>160000</v>
      </c>
      <c r="AK18" s="3450" t="s">
        <v>633</v>
      </c>
      <c r="AL18" s="3450">
        <v>535500</v>
      </c>
      <c r="AM18" s="3450">
        <v>4189.34</v>
      </c>
      <c r="AN18" s="3450">
        <v>4210.57</v>
      </c>
      <c r="AO18" s="3450">
        <v>28564</v>
      </c>
      <c r="AP18" s="3452">
        <v>28709</v>
      </c>
      <c r="AQ18" s="3450" t="s">
        <v>3583</v>
      </c>
      <c r="AR18" s="3450" t="s">
        <v>3583</v>
      </c>
      <c r="AS18" s="3450">
        <v>0.51</v>
      </c>
      <c r="AT18" s="3450" t="s">
        <v>3591</v>
      </c>
      <c r="AU18" s="3450" t="s">
        <v>3582</v>
      </c>
      <c r="AV18" s="3450" t="s">
        <v>3583</v>
      </c>
      <c r="AW18" s="3450" t="s">
        <v>3582</v>
      </c>
      <c r="AX18" s="3450" t="s">
        <v>3583</v>
      </c>
      <c r="AY18" s="3450" t="s">
        <v>3583</v>
      </c>
      <c r="AZ18" s="3450" t="s">
        <v>3583</v>
      </c>
    </row>
    <row r="19" spans="1:52" s="3450" customFormat="1">
      <c r="A19" s="3450" t="s">
        <v>3703</v>
      </c>
      <c r="B19" s="3450" t="s">
        <v>3383</v>
      </c>
      <c r="C19" s="3450" t="s">
        <v>3704</v>
      </c>
      <c r="D19" s="3450" t="s">
        <v>3574</v>
      </c>
      <c r="E19" s="3450" t="s">
        <v>3575</v>
      </c>
      <c r="F19" s="3450" t="s">
        <v>3705</v>
      </c>
      <c r="G19" s="3450" t="s">
        <v>3706</v>
      </c>
      <c r="H19" s="3450" t="s">
        <v>3578</v>
      </c>
      <c r="I19" s="3450">
        <v>10423.85</v>
      </c>
      <c r="J19" s="3450">
        <v>31272</v>
      </c>
      <c r="K19" s="3450">
        <v>3</v>
      </c>
      <c r="L19" s="3450" t="s">
        <v>3579</v>
      </c>
      <c r="M19" s="3450" t="s">
        <v>3707</v>
      </c>
      <c r="N19" s="3450" t="s">
        <v>3581</v>
      </c>
      <c r="O19" s="3450" t="s">
        <v>3582</v>
      </c>
      <c r="P19" s="3450" t="s">
        <v>3583</v>
      </c>
      <c r="Q19" s="3450" t="s">
        <v>3708</v>
      </c>
      <c r="R19" s="3450" t="s">
        <v>3679</v>
      </c>
      <c r="S19" s="3450" t="s">
        <v>3709</v>
      </c>
      <c r="T19" s="3450" t="s">
        <v>3583</v>
      </c>
      <c r="U19" s="3450" t="s">
        <v>3583</v>
      </c>
      <c r="V19" s="3450">
        <v>0</v>
      </c>
      <c r="W19" s="3450">
        <v>0</v>
      </c>
      <c r="X19" s="3450">
        <v>0</v>
      </c>
      <c r="Y19" s="3450">
        <v>0</v>
      </c>
      <c r="Z19" s="3451">
        <v>42979.000497685185</v>
      </c>
      <c r="AA19" s="3451">
        <v>42999.000497685185</v>
      </c>
      <c r="AB19" s="3451">
        <v>43019.000497685185</v>
      </c>
      <c r="AC19" s="3451">
        <v>43019.000497685185</v>
      </c>
      <c r="AD19" s="3450" t="s">
        <v>3710</v>
      </c>
      <c r="AE19" s="3450" t="s">
        <v>3587</v>
      </c>
      <c r="AF19" s="3450" t="s">
        <v>3613</v>
      </c>
      <c r="AG19" s="3450" t="s">
        <v>3711</v>
      </c>
      <c r="AH19" s="3450" t="s">
        <v>3663</v>
      </c>
      <c r="AI19" s="3450">
        <v>123600</v>
      </c>
      <c r="AJ19" s="3450">
        <v>37100</v>
      </c>
      <c r="AK19" s="3450" t="s">
        <v>633</v>
      </c>
      <c r="AL19" s="3450">
        <v>165000</v>
      </c>
      <c r="AM19" s="3450">
        <v>7904.95</v>
      </c>
      <c r="AN19" s="3450">
        <v>10552.72</v>
      </c>
      <c r="AO19" s="3450">
        <v>39524</v>
      </c>
      <c r="AP19" s="3452">
        <v>52763</v>
      </c>
      <c r="AQ19" s="3450" t="s">
        <v>3583</v>
      </c>
      <c r="AR19" s="3450" t="s">
        <v>3583</v>
      </c>
      <c r="AS19" s="3450">
        <v>33.5</v>
      </c>
      <c r="AT19" s="3450" t="s">
        <v>3591</v>
      </c>
      <c r="AU19" s="3450" t="s">
        <v>3582</v>
      </c>
      <c r="AV19" s="3450" t="s">
        <v>3583</v>
      </c>
      <c r="AW19" s="3450">
        <v>85373</v>
      </c>
      <c r="AX19" s="3450" t="s">
        <v>3583</v>
      </c>
      <c r="AY19" s="3450" t="s">
        <v>3583</v>
      </c>
      <c r="AZ19" s="3450">
        <v>32611</v>
      </c>
    </row>
    <row r="20" spans="1:52" s="3450" customFormat="1">
      <c r="A20" s="3450" t="s">
        <v>3712</v>
      </c>
      <c r="B20" s="3450" t="s">
        <v>3383</v>
      </c>
      <c r="C20" s="3450" t="s">
        <v>3713</v>
      </c>
      <c r="D20" s="3450" t="s">
        <v>3574</v>
      </c>
      <c r="E20" s="3450" t="s">
        <v>3575</v>
      </c>
      <c r="F20" s="3450" t="s">
        <v>3576</v>
      </c>
      <c r="G20" s="3450" t="s">
        <v>3676</v>
      </c>
      <c r="H20" s="3450" t="s">
        <v>3578</v>
      </c>
      <c r="I20" s="3450">
        <v>82336.42</v>
      </c>
      <c r="J20" s="3450">
        <v>139022</v>
      </c>
      <c r="K20" s="3450" t="s">
        <v>3714</v>
      </c>
      <c r="L20" s="3450" t="s">
        <v>3579</v>
      </c>
      <c r="M20" s="3450" t="s">
        <v>3580</v>
      </c>
      <c r="N20" s="3450" t="s">
        <v>3581</v>
      </c>
      <c r="O20" s="3450" t="s">
        <v>3582</v>
      </c>
      <c r="P20" s="3450" t="s">
        <v>3677</v>
      </c>
      <c r="Q20" s="3450" t="s">
        <v>3715</v>
      </c>
      <c r="R20" s="3450" t="s">
        <v>3679</v>
      </c>
      <c r="S20" s="3450" t="s">
        <v>3709</v>
      </c>
      <c r="T20" s="3450" t="s">
        <v>3583</v>
      </c>
      <c r="U20" s="3450" t="s">
        <v>3583</v>
      </c>
      <c r="V20" s="3450">
        <v>0</v>
      </c>
      <c r="W20" s="3450">
        <v>0</v>
      </c>
      <c r="X20" s="3450">
        <v>0</v>
      </c>
      <c r="Y20" s="3450">
        <v>0</v>
      </c>
      <c r="Z20" s="3451">
        <v>42916.000497685185</v>
      </c>
      <c r="AA20" s="3451">
        <v>42941.000497685185</v>
      </c>
      <c r="AB20" s="3451">
        <v>42955.000497685185</v>
      </c>
      <c r="AC20" s="3451">
        <v>42955.000497685185</v>
      </c>
      <c r="AD20" s="3450" t="s">
        <v>3716</v>
      </c>
      <c r="AE20" s="3450" t="s">
        <v>3587</v>
      </c>
      <c r="AF20" s="3450" t="s">
        <v>3717</v>
      </c>
      <c r="AG20" s="3450" t="s">
        <v>3718</v>
      </c>
      <c r="AH20" s="3450" t="s">
        <v>3719</v>
      </c>
      <c r="AI20" s="3450">
        <v>484000</v>
      </c>
      <c r="AJ20" s="3450">
        <v>146000</v>
      </c>
      <c r="AK20" s="3450" t="s">
        <v>633</v>
      </c>
      <c r="AL20" s="3450">
        <v>580800</v>
      </c>
      <c r="AM20" s="3450">
        <v>3918.88</v>
      </c>
      <c r="AN20" s="3450">
        <v>4702.66</v>
      </c>
      <c r="AO20" s="3450">
        <v>34815</v>
      </c>
      <c r="AP20" s="3452">
        <v>41778</v>
      </c>
      <c r="AQ20" s="3450" t="s">
        <v>3583</v>
      </c>
      <c r="AR20" s="3450" t="s">
        <v>3583</v>
      </c>
      <c r="AS20" s="3450">
        <v>20</v>
      </c>
      <c r="AT20" s="3450" t="s">
        <v>3591</v>
      </c>
      <c r="AU20" s="3450" t="s">
        <v>3582</v>
      </c>
      <c r="AV20" s="3450" t="s">
        <v>3583</v>
      </c>
      <c r="AW20" s="3450">
        <v>53000</v>
      </c>
      <c r="AX20" s="3450" t="s">
        <v>3583</v>
      </c>
      <c r="AY20" s="3450" t="s">
        <v>3583</v>
      </c>
      <c r="AZ20" s="3450">
        <v>11223</v>
      </c>
    </row>
    <row r="21" spans="1:52" s="3450" customFormat="1">
      <c r="A21" s="3450" t="s">
        <v>3720</v>
      </c>
      <c r="B21" s="3450" t="s">
        <v>3383</v>
      </c>
      <c r="C21" s="3450" t="s">
        <v>3721</v>
      </c>
      <c r="D21" s="3450" t="s">
        <v>3574</v>
      </c>
      <c r="E21" s="3450" t="s">
        <v>3575</v>
      </c>
      <c r="F21" s="3450" t="s">
        <v>3576</v>
      </c>
      <c r="G21" s="3450" t="s">
        <v>3676</v>
      </c>
      <c r="H21" s="3450" t="s">
        <v>3578</v>
      </c>
      <c r="I21" s="3450">
        <v>54881.23</v>
      </c>
      <c r="J21" s="3450">
        <v>104288</v>
      </c>
      <c r="K21" s="3450" t="s">
        <v>3722</v>
      </c>
      <c r="L21" s="3450" t="s">
        <v>3579</v>
      </c>
      <c r="M21" s="3450" t="s">
        <v>3580</v>
      </c>
      <c r="N21" s="3450" t="s">
        <v>3581</v>
      </c>
      <c r="O21" s="3450" t="s">
        <v>3582</v>
      </c>
      <c r="P21" s="3450" t="s">
        <v>3677</v>
      </c>
      <c r="Q21" s="3450" t="s">
        <v>3723</v>
      </c>
      <c r="R21" s="3450" t="s">
        <v>3679</v>
      </c>
      <c r="S21" s="3450" t="s">
        <v>3709</v>
      </c>
      <c r="T21" s="3450" t="s">
        <v>3689</v>
      </c>
      <c r="U21" s="3450" t="s">
        <v>3690</v>
      </c>
      <c r="V21" s="3450">
        <v>55019</v>
      </c>
      <c r="W21" s="3450">
        <v>55019</v>
      </c>
      <c r="X21" s="3450">
        <v>0</v>
      </c>
      <c r="Y21" s="3450">
        <v>0</v>
      </c>
      <c r="Z21" s="3451">
        <v>42916.000497685185</v>
      </c>
      <c r="AA21" s="3451">
        <v>42941.000497685185</v>
      </c>
      <c r="AB21" s="3451">
        <v>42955.000497685185</v>
      </c>
      <c r="AC21" s="3451">
        <v>42955.000497685185</v>
      </c>
      <c r="AD21" s="3450" t="s">
        <v>3724</v>
      </c>
      <c r="AE21" s="3450" t="s">
        <v>3587</v>
      </c>
      <c r="AF21" s="3450" t="s">
        <v>3725</v>
      </c>
      <c r="AG21" s="3450" t="s">
        <v>3726</v>
      </c>
      <c r="AH21" s="3450" t="s">
        <v>3727</v>
      </c>
      <c r="AI21" s="3450">
        <v>157000</v>
      </c>
      <c r="AJ21" s="3450">
        <v>48000</v>
      </c>
      <c r="AK21" s="3450" t="s">
        <v>633</v>
      </c>
      <c r="AL21" s="3450">
        <v>180550</v>
      </c>
      <c r="AM21" s="3450">
        <v>1907.15</v>
      </c>
      <c r="AN21" s="3450">
        <v>2193.2199999999998</v>
      </c>
      <c r="AO21" s="3450">
        <v>15054</v>
      </c>
      <c r="AP21" s="3452">
        <v>17313</v>
      </c>
      <c r="AQ21" s="3450">
        <v>31866</v>
      </c>
      <c r="AR21" s="3450">
        <v>36646</v>
      </c>
      <c r="AS21" s="3450">
        <v>15</v>
      </c>
      <c r="AT21" s="3450" t="s">
        <v>3591</v>
      </c>
      <c r="AU21" s="3450" t="s">
        <v>3582</v>
      </c>
      <c r="AV21" s="3450" t="s">
        <v>3583</v>
      </c>
      <c r="AW21" s="3450">
        <v>53000</v>
      </c>
      <c r="AX21" s="3450" t="s">
        <v>3583</v>
      </c>
      <c r="AY21" s="3450" t="s">
        <v>3583</v>
      </c>
      <c r="AZ21" s="3450">
        <v>-12438</v>
      </c>
    </row>
    <row r="22" spans="1:52" s="3450" customFormat="1">
      <c r="A22" s="3450" t="s">
        <v>3728</v>
      </c>
      <c r="B22" s="3450" t="s">
        <v>3383</v>
      </c>
      <c r="C22" s="3450" t="s">
        <v>3729</v>
      </c>
      <c r="D22" s="3450" t="s">
        <v>3574</v>
      </c>
      <c r="E22" s="3450" t="s">
        <v>3575</v>
      </c>
      <c r="F22" s="3450" t="s">
        <v>3576</v>
      </c>
      <c r="G22" s="3450" t="s">
        <v>3627</v>
      </c>
      <c r="H22" s="3450" t="s">
        <v>3578</v>
      </c>
      <c r="I22" s="3450">
        <v>83549.62</v>
      </c>
      <c r="J22" s="3450">
        <v>138825</v>
      </c>
      <c r="K22" s="3450">
        <v>1.66</v>
      </c>
      <c r="L22" s="3450" t="s">
        <v>3579</v>
      </c>
      <c r="M22" s="3450" t="s">
        <v>3580</v>
      </c>
      <c r="N22" s="3450" t="s">
        <v>3581</v>
      </c>
      <c r="O22" s="3450" t="s">
        <v>3582</v>
      </c>
      <c r="P22" s="3450" t="s">
        <v>3583</v>
      </c>
      <c r="Q22" s="3450" t="s">
        <v>3583</v>
      </c>
      <c r="R22" s="3450" t="s">
        <v>3730</v>
      </c>
      <c r="S22" s="3450" t="s">
        <v>3730</v>
      </c>
      <c r="T22" s="3450" t="s">
        <v>3731</v>
      </c>
      <c r="U22" s="3450" t="s">
        <v>3583</v>
      </c>
      <c r="V22" s="3450">
        <v>0</v>
      </c>
      <c r="W22" s="3450">
        <v>0</v>
      </c>
      <c r="X22" s="3450">
        <v>0</v>
      </c>
      <c r="Y22" s="3450">
        <v>0</v>
      </c>
      <c r="Z22" s="3451">
        <v>42642.000497685185</v>
      </c>
      <c r="AA22" s="3451">
        <v>42676.000497685185</v>
      </c>
      <c r="AB22" s="3451">
        <v>42705.000497685185</v>
      </c>
      <c r="AC22" s="3451">
        <v>42705.000497685185</v>
      </c>
      <c r="AD22" s="3450" t="s">
        <v>3732</v>
      </c>
      <c r="AE22" s="3450" t="s">
        <v>3587</v>
      </c>
      <c r="AF22" s="3450" t="s">
        <v>3733</v>
      </c>
      <c r="AG22" s="3450" t="s">
        <v>3726</v>
      </c>
      <c r="AH22" s="3450" t="s">
        <v>3727</v>
      </c>
      <c r="AI22" s="3450">
        <v>384000</v>
      </c>
      <c r="AJ22" s="3450">
        <v>115000</v>
      </c>
      <c r="AK22" s="3450" t="s">
        <v>633</v>
      </c>
      <c r="AL22" s="3450">
        <v>500000</v>
      </c>
      <c r="AM22" s="3450">
        <v>3064.05</v>
      </c>
      <c r="AN22" s="3450">
        <v>3989.65</v>
      </c>
      <c r="AO22" s="3450">
        <v>27661</v>
      </c>
      <c r="AP22" s="3452">
        <v>36017</v>
      </c>
      <c r="AQ22" s="3450" t="s">
        <v>3583</v>
      </c>
      <c r="AR22" s="3450" t="s">
        <v>3583</v>
      </c>
      <c r="AS22" s="3450">
        <v>30.21</v>
      </c>
      <c r="AT22" s="3450" t="s">
        <v>3591</v>
      </c>
      <c r="AU22" s="3450">
        <v>500000</v>
      </c>
      <c r="AV22" s="3450" t="s">
        <v>3592</v>
      </c>
      <c r="AW22" s="3450" t="s">
        <v>3582</v>
      </c>
      <c r="AX22" s="3450">
        <v>36017</v>
      </c>
      <c r="AY22" s="3450">
        <v>30.21</v>
      </c>
      <c r="AZ22" s="3450" t="s">
        <v>3583</v>
      </c>
    </row>
    <row r="23" spans="1:52" s="3450" customFormat="1">
      <c r="A23" s="3450" t="s">
        <v>3734</v>
      </c>
      <c r="B23" s="3450" t="s">
        <v>3383</v>
      </c>
      <c r="C23" s="3450" t="s">
        <v>3735</v>
      </c>
      <c r="D23" s="3450" t="s">
        <v>3574</v>
      </c>
      <c r="E23" s="3450" t="s">
        <v>3575</v>
      </c>
      <c r="F23" s="3450" t="s">
        <v>3576</v>
      </c>
      <c r="G23" s="3450" t="s">
        <v>3627</v>
      </c>
      <c r="H23" s="3450" t="s">
        <v>3578</v>
      </c>
      <c r="I23" s="3450">
        <v>43356.75</v>
      </c>
      <c r="J23" s="3450">
        <v>91049</v>
      </c>
      <c r="K23" s="3450">
        <v>2.1</v>
      </c>
      <c r="L23" s="3450" t="s">
        <v>3579</v>
      </c>
      <c r="M23" s="3450" t="s">
        <v>3580</v>
      </c>
      <c r="N23" s="3450" t="s">
        <v>3581</v>
      </c>
      <c r="O23" s="3450" t="s">
        <v>3582</v>
      </c>
      <c r="P23" s="3450" t="s">
        <v>3583</v>
      </c>
      <c r="Q23" s="3450" t="s">
        <v>3583</v>
      </c>
      <c r="R23" s="3450" t="s">
        <v>3697</v>
      </c>
      <c r="S23" s="3450" t="s">
        <v>3697</v>
      </c>
      <c r="T23" s="3450" t="s">
        <v>3736</v>
      </c>
      <c r="U23" s="3450" t="s">
        <v>3737</v>
      </c>
      <c r="V23" s="3450">
        <v>0</v>
      </c>
      <c r="W23" s="3450">
        <v>0</v>
      </c>
      <c r="X23" s="3450">
        <v>55049</v>
      </c>
      <c r="Y23" s="3450">
        <v>55049</v>
      </c>
      <c r="Z23" s="3451">
        <v>42642.000497685185</v>
      </c>
      <c r="AA23" s="3451">
        <v>42662.000497685185</v>
      </c>
      <c r="AB23" s="3451">
        <v>42676.000497685185</v>
      </c>
      <c r="AC23" s="3451">
        <v>42676.000497685185</v>
      </c>
      <c r="AD23" s="3450" t="s">
        <v>3738</v>
      </c>
      <c r="AE23" s="3450" t="s">
        <v>3587</v>
      </c>
      <c r="AF23" s="3450" t="s">
        <v>3739</v>
      </c>
      <c r="AG23" s="3450" t="s">
        <v>3740</v>
      </c>
      <c r="AH23" s="3450" t="s">
        <v>3622</v>
      </c>
      <c r="AI23" s="3450">
        <v>199000</v>
      </c>
      <c r="AJ23" s="3450">
        <v>59700</v>
      </c>
      <c r="AK23" s="3450" t="s">
        <v>633</v>
      </c>
      <c r="AL23" s="3450">
        <v>215000</v>
      </c>
      <c r="AM23" s="3450">
        <v>3059.88</v>
      </c>
      <c r="AN23" s="3450">
        <v>3305.91</v>
      </c>
      <c r="AO23" s="3450">
        <v>21856</v>
      </c>
      <c r="AP23" s="3452">
        <v>23614</v>
      </c>
      <c r="AQ23" s="3450" t="s">
        <v>3583</v>
      </c>
      <c r="AR23" s="3450" t="s">
        <v>3583</v>
      </c>
      <c r="AS23" s="3450">
        <v>8.0399999999999991</v>
      </c>
      <c r="AT23" s="3450" t="s">
        <v>3591</v>
      </c>
      <c r="AU23" s="3450" t="s">
        <v>3582</v>
      </c>
      <c r="AV23" s="3450" t="s">
        <v>3583</v>
      </c>
      <c r="AW23" s="3450" t="s">
        <v>3582</v>
      </c>
      <c r="AX23" s="3450" t="s">
        <v>3583</v>
      </c>
      <c r="AY23" s="3450" t="s">
        <v>3583</v>
      </c>
      <c r="AZ23" s="3450" t="s">
        <v>3583</v>
      </c>
    </row>
    <row r="24" spans="1:52" s="3450" customFormat="1">
      <c r="A24" s="3450" t="s">
        <v>3741</v>
      </c>
      <c r="B24" s="3450" t="s">
        <v>3383</v>
      </c>
      <c r="C24" s="3450" t="s">
        <v>3742</v>
      </c>
      <c r="D24" s="3450" t="s">
        <v>3574</v>
      </c>
      <c r="E24" s="3450" t="s">
        <v>3575</v>
      </c>
      <c r="F24" s="3450" t="s">
        <v>3576</v>
      </c>
      <c r="G24" s="3450" t="s">
        <v>3743</v>
      </c>
      <c r="H24" s="3450" t="s">
        <v>3578</v>
      </c>
      <c r="I24" s="3450">
        <v>83231.570000000007</v>
      </c>
      <c r="J24" s="3450">
        <v>183109</v>
      </c>
      <c r="K24" s="3450">
        <v>2.2000000000000002</v>
      </c>
      <c r="L24" s="3450" t="s">
        <v>3688</v>
      </c>
      <c r="M24" s="3450" t="s">
        <v>3580</v>
      </c>
      <c r="N24" s="3450" t="s">
        <v>3581</v>
      </c>
      <c r="O24" s="3450" t="s">
        <v>3582</v>
      </c>
      <c r="P24" s="3450" t="s">
        <v>3583</v>
      </c>
      <c r="Q24" s="3450" t="s">
        <v>3583</v>
      </c>
      <c r="R24" s="3450" t="s">
        <v>3583</v>
      </c>
      <c r="S24" s="3450" t="s">
        <v>3583</v>
      </c>
      <c r="T24" s="3450" t="s">
        <v>3583</v>
      </c>
      <c r="U24" s="3450" t="s">
        <v>3583</v>
      </c>
      <c r="V24" s="3450">
        <v>0</v>
      </c>
      <c r="W24" s="3450">
        <v>0</v>
      </c>
      <c r="X24" s="3450">
        <v>183109</v>
      </c>
      <c r="Y24" s="3450">
        <v>183109</v>
      </c>
      <c r="Z24" s="3451">
        <v>41659.000497685185</v>
      </c>
      <c r="AA24" s="3451">
        <v>41687.000497685185</v>
      </c>
      <c r="AB24" s="3451">
        <v>41687.000497685185</v>
      </c>
      <c r="AC24" s="3451">
        <v>41687.000497685185</v>
      </c>
      <c r="AD24" s="3450" t="s">
        <v>3744</v>
      </c>
      <c r="AE24" s="3450" t="s">
        <v>3587</v>
      </c>
      <c r="AF24" s="3450" t="s">
        <v>3745</v>
      </c>
      <c r="AG24" s="3450" t="s">
        <v>3746</v>
      </c>
      <c r="AH24" s="3450" t="s">
        <v>3747</v>
      </c>
      <c r="AI24" s="3450" t="s">
        <v>3583</v>
      </c>
      <c r="AJ24" s="3450">
        <v>45000</v>
      </c>
      <c r="AK24" s="3450" t="s">
        <v>633</v>
      </c>
      <c r="AL24" s="3450">
        <v>222500</v>
      </c>
      <c r="AM24" s="3450" t="s">
        <v>3583</v>
      </c>
      <c r="AN24" s="3450">
        <v>1782.18</v>
      </c>
      <c r="AO24" s="3450" t="s">
        <v>3583</v>
      </c>
      <c r="AP24" s="3452">
        <v>12151</v>
      </c>
      <c r="AQ24" s="3450" t="s">
        <v>3583</v>
      </c>
      <c r="AR24" s="3450" t="s">
        <v>3583</v>
      </c>
      <c r="AS24" s="3450">
        <v>0</v>
      </c>
      <c r="AT24" s="3450" t="s">
        <v>3748</v>
      </c>
      <c r="AU24" s="3450" t="s">
        <v>3582</v>
      </c>
      <c r="AV24" s="3450" t="s">
        <v>3583</v>
      </c>
      <c r="AW24" s="3450" t="s">
        <v>3582</v>
      </c>
      <c r="AX24" s="3450" t="s">
        <v>3583</v>
      </c>
      <c r="AY24" s="3450" t="s">
        <v>3583</v>
      </c>
      <c r="AZ24" s="3450" t="s">
        <v>3583</v>
      </c>
    </row>
    <row r="25" spans="1:52" s="3450" customFormat="1">
      <c r="A25" s="3450" t="s">
        <v>3749</v>
      </c>
      <c r="B25" s="3450" t="s">
        <v>3383</v>
      </c>
      <c r="C25" s="3450" t="s">
        <v>3750</v>
      </c>
      <c r="D25" s="3450" t="s">
        <v>3574</v>
      </c>
      <c r="E25" s="3450" t="s">
        <v>3575</v>
      </c>
      <c r="F25" s="3450" t="s">
        <v>3751</v>
      </c>
      <c r="G25" s="3450" t="s">
        <v>3752</v>
      </c>
      <c r="H25" s="3450" t="s">
        <v>3578</v>
      </c>
      <c r="I25" s="3450">
        <v>13025</v>
      </c>
      <c r="J25" s="3450">
        <v>27353</v>
      </c>
      <c r="K25" s="3450">
        <v>2.1</v>
      </c>
      <c r="L25" s="3450" t="s">
        <v>3579</v>
      </c>
      <c r="M25" s="3450" t="s">
        <v>3753</v>
      </c>
      <c r="N25" s="3450" t="s">
        <v>3581</v>
      </c>
      <c r="O25" s="3450" t="s">
        <v>3582</v>
      </c>
      <c r="P25" s="3450" t="s">
        <v>3583</v>
      </c>
      <c r="Q25" s="3450" t="s">
        <v>3583</v>
      </c>
      <c r="R25" s="3450" t="s">
        <v>3583</v>
      </c>
      <c r="S25" s="3450" t="s">
        <v>3583</v>
      </c>
      <c r="T25" s="3450" t="s">
        <v>3583</v>
      </c>
      <c r="U25" s="3450" t="s">
        <v>3754</v>
      </c>
      <c r="V25" s="3450">
        <v>8000</v>
      </c>
      <c r="W25" s="3450">
        <v>8000</v>
      </c>
      <c r="X25" s="3450">
        <v>0</v>
      </c>
      <c r="Y25" s="3450">
        <v>0</v>
      </c>
      <c r="Z25" s="3451">
        <v>41542.000497685185</v>
      </c>
      <c r="AA25" s="3451">
        <v>41568.000497685185</v>
      </c>
      <c r="AB25" s="3451">
        <v>41582.000497685185</v>
      </c>
      <c r="AC25" s="3451">
        <v>41582.000497685185</v>
      </c>
      <c r="AD25" s="3450" t="s">
        <v>3755</v>
      </c>
      <c r="AE25" s="3450" t="s">
        <v>3587</v>
      </c>
      <c r="AF25" s="3450" t="s">
        <v>3756</v>
      </c>
      <c r="AG25" s="3450" t="s">
        <v>3757</v>
      </c>
      <c r="AH25" s="3450" t="s">
        <v>3663</v>
      </c>
      <c r="AI25" s="3450">
        <v>45000</v>
      </c>
      <c r="AJ25" s="3450">
        <v>14000</v>
      </c>
      <c r="AK25" s="3450" t="s">
        <v>633</v>
      </c>
      <c r="AL25" s="3450">
        <v>54000</v>
      </c>
      <c r="AM25" s="3450">
        <v>2303.2600000000002</v>
      </c>
      <c r="AN25" s="3450">
        <v>2763.92</v>
      </c>
      <c r="AO25" s="3450">
        <v>16452</v>
      </c>
      <c r="AP25" s="3452">
        <v>19742</v>
      </c>
      <c r="AQ25" s="3450">
        <v>23252</v>
      </c>
      <c r="AR25" s="3450">
        <v>27903</v>
      </c>
      <c r="AS25" s="3450">
        <v>20</v>
      </c>
      <c r="AT25" s="3450" t="s">
        <v>3748</v>
      </c>
      <c r="AU25" s="3450" t="s">
        <v>3582</v>
      </c>
      <c r="AV25" s="3450" t="s">
        <v>3583</v>
      </c>
      <c r="AW25" s="3450" t="s">
        <v>3582</v>
      </c>
      <c r="AX25" s="3450" t="s">
        <v>3583</v>
      </c>
      <c r="AY25" s="3450" t="s">
        <v>3583</v>
      </c>
      <c r="AZ25" s="3450" t="s">
        <v>3583</v>
      </c>
    </row>
    <row r="26" spans="1:52" s="3450" customFormat="1">
      <c r="A26" s="3450" t="s">
        <v>3758</v>
      </c>
      <c r="B26" s="3450" t="s">
        <v>3383</v>
      </c>
      <c r="C26" s="3450" t="s">
        <v>3759</v>
      </c>
      <c r="D26" s="3450" t="s">
        <v>3574</v>
      </c>
      <c r="E26" s="3450" t="s">
        <v>3575</v>
      </c>
      <c r="F26" s="3450" t="s">
        <v>3760</v>
      </c>
      <c r="G26" s="3450" t="s">
        <v>3761</v>
      </c>
      <c r="H26" s="3450" t="s">
        <v>3578</v>
      </c>
      <c r="I26" s="3450">
        <v>19881.8</v>
      </c>
      <c r="J26" s="3450">
        <v>59645.4</v>
      </c>
      <c r="K26" s="3450">
        <v>3</v>
      </c>
      <c r="L26" s="3450" t="s">
        <v>3688</v>
      </c>
      <c r="M26" s="3450" t="s">
        <v>3762</v>
      </c>
      <c r="N26" s="3450" t="s">
        <v>3581</v>
      </c>
      <c r="O26" s="3450" t="s">
        <v>3582</v>
      </c>
      <c r="P26" s="3450" t="s">
        <v>3583</v>
      </c>
      <c r="Q26" s="3450" t="s">
        <v>3583</v>
      </c>
      <c r="R26" s="3450" t="s">
        <v>3583</v>
      </c>
      <c r="S26" s="3450" t="s">
        <v>3583</v>
      </c>
      <c r="T26" s="3450" t="s">
        <v>3583</v>
      </c>
      <c r="U26" s="3450" t="s">
        <v>3583</v>
      </c>
      <c r="V26" s="3450" t="s">
        <v>3583</v>
      </c>
      <c r="W26" s="3450" t="s">
        <v>3583</v>
      </c>
      <c r="X26" s="3450">
        <v>0</v>
      </c>
      <c r="Y26" s="3450">
        <v>0</v>
      </c>
      <c r="Z26" s="3450" t="s">
        <v>3583</v>
      </c>
      <c r="AA26" s="3451">
        <v>39129.000497685185</v>
      </c>
      <c r="AB26" s="3451">
        <v>39129.000497685185</v>
      </c>
      <c r="AC26" s="3451">
        <v>39129.000497685185</v>
      </c>
      <c r="AD26" s="3450" t="s">
        <v>3583</v>
      </c>
      <c r="AE26" s="3450" t="s">
        <v>3587</v>
      </c>
      <c r="AF26" s="3450" t="s">
        <v>3763</v>
      </c>
      <c r="AG26" s="3450" t="s">
        <v>3583</v>
      </c>
      <c r="AH26" s="3450" t="s">
        <v>3583</v>
      </c>
      <c r="AI26" s="3450">
        <v>29900</v>
      </c>
      <c r="AJ26" s="3450" t="s">
        <v>3582</v>
      </c>
      <c r="AK26" s="3450" t="s">
        <v>633</v>
      </c>
      <c r="AL26" s="3450">
        <v>31800</v>
      </c>
      <c r="AM26" s="3450">
        <v>1002.59</v>
      </c>
      <c r="AN26" s="3450">
        <v>1066.3</v>
      </c>
      <c r="AO26" s="3450">
        <v>5013</v>
      </c>
      <c r="AP26" s="3452">
        <v>5332</v>
      </c>
      <c r="AQ26" s="3450" t="s">
        <v>3583</v>
      </c>
      <c r="AR26" s="3450" t="s">
        <v>3583</v>
      </c>
      <c r="AS26" s="3450">
        <v>6.35</v>
      </c>
      <c r="AT26" s="3450" t="s">
        <v>3764</v>
      </c>
      <c r="AU26" s="3450" t="s">
        <v>3582</v>
      </c>
      <c r="AV26" s="3450" t="s">
        <v>3583</v>
      </c>
      <c r="AW26" s="3450" t="s">
        <v>3582</v>
      </c>
      <c r="AX26" s="3450" t="s">
        <v>3583</v>
      </c>
      <c r="AY26" s="3450" t="s">
        <v>3583</v>
      </c>
      <c r="AZ26" s="3450" t="s">
        <v>3583</v>
      </c>
    </row>
    <row r="27" spans="1:52" s="3450" customFormat="1">
      <c r="A27" s="3450" t="s">
        <v>3765</v>
      </c>
      <c r="B27" s="3450" t="s">
        <v>3383</v>
      </c>
      <c r="C27" s="3450" t="s">
        <v>3766</v>
      </c>
      <c r="D27" s="3450" t="s">
        <v>3574</v>
      </c>
      <c r="E27" s="3450" t="s">
        <v>3575</v>
      </c>
      <c r="F27" s="3450" t="s">
        <v>3654</v>
      </c>
      <c r="G27" s="3450" t="s">
        <v>3767</v>
      </c>
      <c r="H27" s="3450" t="s">
        <v>3578</v>
      </c>
      <c r="I27" s="3450">
        <v>54870</v>
      </c>
      <c r="J27" s="3450">
        <v>82300</v>
      </c>
      <c r="K27" s="3450">
        <v>1.5</v>
      </c>
      <c r="L27" s="3450" t="s">
        <v>3579</v>
      </c>
      <c r="M27" s="3450" t="s">
        <v>3762</v>
      </c>
      <c r="N27" s="3450" t="s">
        <v>3581</v>
      </c>
      <c r="O27" s="3450" t="s">
        <v>3582</v>
      </c>
      <c r="P27" s="3450" t="s">
        <v>3583</v>
      </c>
      <c r="Q27" s="3450" t="s">
        <v>3583</v>
      </c>
      <c r="R27" s="3450" t="s">
        <v>3583</v>
      </c>
      <c r="S27" s="3450" t="s">
        <v>3583</v>
      </c>
      <c r="T27" s="3450" t="s">
        <v>3583</v>
      </c>
      <c r="U27" s="3450" t="s">
        <v>3583</v>
      </c>
      <c r="V27" s="3450">
        <v>0</v>
      </c>
      <c r="W27" s="3450">
        <v>0</v>
      </c>
      <c r="X27" s="3450">
        <v>0</v>
      </c>
      <c r="Y27" s="3450">
        <v>0</v>
      </c>
      <c r="Z27" s="3450" t="s">
        <v>3583</v>
      </c>
      <c r="AA27" s="3451">
        <v>38026.000497685185</v>
      </c>
      <c r="AB27" s="3451">
        <v>38040.000497685185</v>
      </c>
      <c r="AC27" s="3451">
        <v>38040.000497685185</v>
      </c>
      <c r="AD27" s="3450" t="s">
        <v>3583</v>
      </c>
      <c r="AE27" s="3450" t="s">
        <v>3587</v>
      </c>
      <c r="AF27" s="3450" t="s">
        <v>3768</v>
      </c>
      <c r="AG27" s="3450" t="s">
        <v>3583</v>
      </c>
      <c r="AH27" s="3450" t="s">
        <v>3583</v>
      </c>
      <c r="AI27" s="3450">
        <v>32300</v>
      </c>
      <c r="AJ27" s="3450" t="s">
        <v>3582</v>
      </c>
      <c r="AK27" s="3450" t="s">
        <v>633</v>
      </c>
      <c r="AL27" s="3450">
        <v>32300</v>
      </c>
      <c r="AM27" s="3450">
        <v>392.44</v>
      </c>
      <c r="AN27" s="3450">
        <v>392.44</v>
      </c>
      <c r="AO27" s="3450">
        <v>3925</v>
      </c>
      <c r="AP27" s="3452">
        <v>3925</v>
      </c>
      <c r="AQ27" s="3450" t="s">
        <v>3583</v>
      </c>
      <c r="AR27" s="3450" t="s">
        <v>3583</v>
      </c>
      <c r="AS27" s="3450">
        <v>0</v>
      </c>
      <c r="AT27" s="3450" t="s">
        <v>3624</v>
      </c>
      <c r="AU27" s="3450" t="s">
        <v>3582</v>
      </c>
      <c r="AV27" s="3450" t="s">
        <v>3583</v>
      </c>
      <c r="AW27" s="3450" t="s">
        <v>3582</v>
      </c>
      <c r="AX27" s="3450" t="s">
        <v>3583</v>
      </c>
      <c r="AY27" s="3450" t="s">
        <v>3583</v>
      </c>
      <c r="AZ27" s="3450" t="s">
        <v>3583</v>
      </c>
    </row>
    <row r="28" spans="1:52" s="3450" customFormat="1">
      <c r="A28" s="3450" t="s">
        <v>3769</v>
      </c>
      <c r="B28" s="3450" t="s">
        <v>3383</v>
      </c>
      <c r="C28" s="3450" t="s">
        <v>3770</v>
      </c>
      <c r="D28" s="3450" t="s">
        <v>3574</v>
      </c>
      <c r="E28" s="3450" t="s">
        <v>3575</v>
      </c>
      <c r="F28" s="3450" t="s">
        <v>3642</v>
      </c>
      <c r="G28" s="3450" t="s">
        <v>3771</v>
      </c>
      <c r="H28" s="3450" t="s">
        <v>3578</v>
      </c>
      <c r="I28" s="3450">
        <v>19721.84</v>
      </c>
      <c r="J28" s="3450">
        <v>43388.05</v>
      </c>
      <c r="K28" s="3450">
        <v>2.2000000000000002</v>
      </c>
      <c r="L28" s="3450" t="s">
        <v>3579</v>
      </c>
      <c r="M28" s="3450" t="s">
        <v>3772</v>
      </c>
      <c r="N28" s="3450" t="s">
        <v>3581</v>
      </c>
      <c r="O28" s="3450" t="s">
        <v>3582</v>
      </c>
      <c r="P28" s="3450" t="s">
        <v>3583</v>
      </c>
      <c r="Q28" s="3450" t="s">
        <v>3583</v>
      </c>
      <c r="R28" s="3450" t="s">
        <v>3583</v>
      </c>
      <c r="S28" s="3450" t="s">
        <v>3583</v>
      </c>
      <c r="T28" s="3450" t="s">
        <v>3583</v>
      </c>
      <c r="U28" s="3450" t="s">
        <v>3583</v>
      </c>
      <c r="V28" s="3450" t="s">
        <v>3583</v>
      </c>
      <c r="W28" s="3450" t="s">
        <v>3583</v>
      </c>
      <c r="X28" s="3450">
        <v>0</v>
      </c>
      <c r="Y28" s="3450">
        <v>0</v>
      </c>
      <c r="Z28" s="3450" t="s">
        <v>3583</v>
      </c>
      <c r="AA28" s="3451">
        <v>39463.000497685185</v>
      </c>
      <c r="AB28" s="3451">
        <v>39477.000497685185</v>
      </c>
      <c r="AC28" s="3451">
        <v>39477.000497685185</v>
      </c>
      <c r="AD28" s="3450" t="s">
        <v>3583</v>
      </c>
      <c r="AE28" s="3450" t="s">
        <v>3587</v>
      </c>
      <c r="AF28" s="3450" t="s">
        <v>3773</v>
      </c>
      <c r="AG28" s="3450" t="s">
        <v>3740</v>
      </c>
      <c r="AH28" s="3450" t="s">
        <v>3622</v>
      </c>
      <c r="AI28" s="3450">
        <v>24527.4</v>
      </c>
      <c r="AJ28" s="3450">
        <v>2500</v>
      </c>
      <c r="AK28" s="3450" t="s">
        <v>633</v>
      </c>
      <c r="AL28" s="3450">
        <v>64000</v>
      </c>
      <c r="AM28" s="3450">
        <v>829.11</v>
      </c>
      <c r="AN28" s="3450">
        <v>2163.42</v>
      </c>
      <c r="AO28" s="3450">
        <v>5653</v>
      </c>
      <c r="AP28" s="3452">
        <v>14751</v>
      </c>
      <c r="AQ28" s="3450" t="s">
        <v>3583</v>
      </c>
      <c r="AR28" s="3450" t="s">
        <v>3583</v>
      </c>
      <c r="AS28" s="3450">
        <v>160.93</v>
      </c>
      <c r="AT28" s="3450" t="s">
        <v>3583</v>
      </c>
      <c r="AU28" s="3450" t="s">
        <v>3582</v>
      </c>
      <c r="AV28" s="3450" t="s">
        <v>3583</v>
      </c>
      <c r="AW28" s="3450" t="s">
        <v>3582</v>
      </c>
      <c r="AX28" s="3450" t="s">
        <v>3583</v>
      </c>
      <c r="AY28" s="3450" t="s">
        <v>3583</v>
      </c>
      <c r="AZ28" s="3450" t="s">
        <v>3583</v>
      </c>
    </row>
    <row r="29" spans="1:52" s="3450" customFormat="1">
      <c r="A29" s="3450" t="s">
        <v>3774</v>
      </c>
      <c r="B29" s="3450" t="s">
        <v>3383</v>
      </c>
      <c r="C29" s="3450" t="s">
        <v>3775</v>
      </c>
      <c r="D29" s="3450" t="s">
        <v>3574</v>
      </c>
      <c r="E29" s="3450" t="s">
        <v>3575</v>
      </c>
      <c r="F29" s="3450" t="s">
        <v>3776</v>
      </c>
      <c r="G29" s="3450" t="s">
        <v>3777</v>
      </c>
      <c r="H29" s="3450" t="s">
        <v>3578</v>
      </c>
      <c r="I29" s="3450">
        <v>38869.64</v>
      </c>
      <c r="J29" s="3450">
        <v>77739</v>
      </c>
      <c r="K29" s="3450">
        <v>2</v>
      </c>
      <c r="L29" s="3450" t="s">
        <v>3579</v>
      </c>
      <c r="M29" s="3450" t="s">
        <v>3580</v>
      </c>
      <c r="N29" s="3450" t="s">
        <v>3581</v>
      </c>
      <c r="O29" s="3450" t="s">
        <v>3582</v>
      </c>
      <c r="P29" s="3450" t="s">
        <v>3583</v>
      </c>
      <c r="Q29" s="3450" t="s">
        <v>3583</v>
      </c>
      <c r="R29" s="3450" t="s">
        <v>3583</v>
      </c>
      <c r="S29" s="3450" t="s">
        <v>3583</v>
      </c>
      <c r="T29" s="3450" t="s">
        <v>3583</v>
      </c>
      <c r="U29" s="3450" t="s">
        <v>3583</v>
      </c>
      <c r="V29" s="3450">
        <v>0</v>
      </c>
      <c r="W29" s="3450">
        <v>0</v>
      </c>
      <c r="X29" s="3450">
        <v>0</v>
      </c>
      <c r="Y29" s="3450">
        <v>0</v>
      </c>
      <c r="Z29" s="3450" t="s">
        <v>3583</v>
      </c>
      <c r="AA29" s="3451">
        <v>41079.000497685185</v>
      </c>
      <c r="AB29" s="3451">
        <v>41100.000497685185</v>
      </c>
      <c r="AC29" s="3451">
        <v>41100.000497685185</v>
      </c>
      <c r="AD29" s="3450" t="s">
        <v>3583</v>
      </c>
      <c r="AE29" s="3450" t="s">
        <v>3587</v>
      </c>
      <c r="AF29" s="3450" t="s">
        <v>3778</v>
      </c>
      <c r="AG29" s="3450" t="s">
        <v>3583</v>
      </c>
      <c r="AH29" s="3450" t="s">
        <v>3583</v>
      </c>
      <c r="AI29" s="3450">
        <v>186600</v>
      </c>
      <c r="AJ29" s="3450">
        <v>56000</v>
      </c>
      <c r="AK29" s="3450" t="s">
        <v>633</v>
      </c>
      <c r="AL29" s="3450">
        <v>263000</v>
      </c>
      <c r="AM29" s="3450">
        <v>3200.44</v>
      </c>
      <c r="AN29" s="3450">
        <v>4510.8</v>
      </c>
      <c r="AO29" s="3450">
        <v>24003</v>
      </c>
      <c r="AP29" s="3452">
        <v>33831</v>
      </c>
      <c r="AQ29" s="3450" t="s">
        <v>3583</v>
      </c>
      <c r="AR29" s="3450" t="s">
        <v>3583</v>
      </c>
      <c r="AS29" s="3450">
        <v>40.94</v>
      </c>
      <c r="AT29" s="3450" t="s">
        <v>3748</v>
      </c>
      <c r="AU29" s="3450" t="s">
        <v>3582</v>
      </c>
      <c r="AV29" s="3450" t="s">
        <v>3583</v>
      </c>
      <c r="AW29" s="3450" t="s">
        <v>3582</v>
      </c>
      <c r="AX29" s="3450" t="s">
        <v>3583</v>
      </c>
      <c r="AY29" s="3450" t="s">
        <v>3583</v>
      </c>
      <c r="AZ29" s="3450" t="s">
        <v>3583</v>
      </c>
    </row>
    <row r="30" spans="1:52" s="3450" customFormat="1">
      <c r="A30" s="3450" t="s">
        <v>3779</v>
      </c>
      <c r="B30" s="3450" t="s">
        <v>3383</v>
      </c>
      <c r="C30" s="3450" t="s">
        <v>3780</v>
      </c>
      <c r="D30" s="3450" t="s">
        <v>3574</v>
      </c>
      <c r="E30" s="3450" t="s">
        <v>3575</v>
      </c>
      <c r="F30" s="3450" t="s">
        <v>3654</v>
      </c>
      <c r="G30" s="3450" t="s">
        <v>3627</v>
      </c>
      <c r="H30" s="3450" t="s">
        <v>3578</v>
      </c>
      <c r="I30" s="3450">
        <v>85099</v>
      </c>
      <c r="J30" s="3450">
        <v>187218</v>
      </c>
      <c r="K30" s="3450">
        <v>2.2000000000000002</v>
      </c>
      <c r="L30" s="3450" t="s">
        <v>3688</v>
      </c>
      <c r="M30" s="3450" t="s">
        <v>3580</v>
      </c>
      <c r="N30" s="3450" t="s">
        <v>3581</v>
      </c>
      <c r="O30" s="3450" t="s">
        <v>3582</v>
      </c>
      <c r="P30" s="3450" t="s">
        <v>3583</v>
      </c>
      <c r="Q30" s="3450" t="s">
        <v>3583</v>
      </c>
      <c r="R30" s="3450" t="s">
        <v>3583</v>
      </c>
      <c r="S30" s="3450" t="s">
        <v>3583</v>
      </c>
      <c r="T30" s="3450" t="s">
        <v>3583</v>
      </c>
      <c r="U30" s="3450" t="s">
        <v>3583</v>
      </c>
      <c r="V30" s="3450">
        <v>0</v>
      </c>
      <c r="W30" s="3450">
        <v>0</v>
      </c>
      <c r="X30" s="3450">
        <v>0</v>
      </c>
      <c r="Y30" s="3450">
        <v>0</v>
      </c>
      <c r="Z30" s="3450" t="s">
        <v>3583</v>
      </c>
      <c r="AA30" s="3451">
        <v>40497.000497685185</v>
      </c>
      <c r="AB30" s="3451">
        <v>40497.000497685185</v>
      </c>
      <c r="AC30" s="3451">
        <v>40497.000497685185</v>
      </c>
      <c r="AD30" s="3450" t="s">
        <v>3583</v>
      </c>
      <c r="AE30" s="3450" t="s">
        <v>3587</v>
      </c>
      <c r="AF30" s="3450" t="s">
        <v>3781</v>
      </c>
      <c r="AG30" s="3450" t="s">
        <v>3782</v>
      </c>
      <c r="AH30" s="3450" t="s">
        <v>3783</v>
      </c>
      <c r="AI30" s="3450" t="s">
        <v>3583</v>
      </c>
      <c r="AJ30" s="3450">
        <v>72000</v>
      </c>
      <c r="AK30" s="3450" t="s">
        <v>633</v>
      </c>
      <c r="AL30" s="3450">
        <v>374400</v>
      </c>
      <c r="AM30" s="3450" t="s">
        <v>3583</v>
      </c>
      <c r="AN30" s="3450">
        <v>2933.05</v>
      </c>
      <c r="AO30" s="3450" t="s">
        <v>3583</v>
      </c>
      <c r="AP30" s="3452">
        <v>19998</v>
      </c>
      <c r="AQ30" s="3450" t="s">
        <v>3583</v>
      </c>
      <c r="AR30" s="3450" t="s">
        <v>3583</v>
      </c>
      <c r="AS30" s="3450">
        <v>0</v>
      </c>
      <c r="AT30" s="3450" t="s">
        <v>3748</v>
      </c>
      <c r="AU30" s="3450" t="s">
        <v>3582</v>
      </c>
      <c r="AV30" s="3450" t="s">
        <v>3583</v>
      </c>
      <c r="AW30" s="3450" t="s">
        <v>3582</v>
      </c>
      <c r="AX30" s="3450" t="s">
        <v>3583</v>
      </c>
      <c r="AY30" s="3450" t="s">
        <v>3583</v>
      </c>
      <c r="AZ30" s="3450" t="s">
        <v>3583</v>
      </c>
    </row>
    <row r="31" spans="1:52" s="3450" customFormat="1">
      <c r="A31" s="3450" t="s">
        <v>3784</v>
      </c>
      <c r="B31" s="3450" t="s">
        <v>3383</v>
      </c>
      <c r="C31" s="3450" t="s">
        <v>3785</v>
      </c>
      <c r="D31" s="3450" t="s">
        <v>3574</v>
      </c>
      <c r="E31" s="3450" t="s">
        <v>3575</v>
      </c>
      <c r="F31" s="3450" t="s">
        <v>3751</v>
      </c>
      <c r="G31" s="3450" t="s">
        <v>3786</v>
      </c>
      <c r="H31" s="3450" t="s">
        <v>3578</v>
      </c>
      <c r="I31" s="3450">
        <v>70879.679999999993</v>
      </c>
      <c r="J31" s="3450">
        <v>142354.1</v>
      </c>
      <c r="K31" s="3450">
        <v>2</v>
      </c>
      <c r="L31" s="3450" t="s">
        <v>3688</v>
      </c>
      <c r="M31" s="3450" t="s">
        <v>3787</v>
      </c>
      <c r="N31" s="3450" t="s">
        <v>3581</v>
      </c>
      <c r="O31" s="3450" t="s">
        <v>3582</v>
      </c>
      <c r="P31" s="3450" t="s">
        <v>3583</v>
      </c>
      <c r="Q31" s="3450" t="s">
        <v>3583</v>
      </c>
      <c r="R31" s="3450" t="s">
        <v>3583</v>
      </c>
      <c r="S31" s="3450" t="s">
        <v>3583</v>
      </c>
      <c r="T31" s="3450" t="s">
        <v>3583</v>
      </c>
      <c r="U31" s="3450" t="s">
        <v>3583</v>
      </c>
      <c r="V31" s="3450" t="s">
        <v>3583</v>
      </c>
      <c r="W31" s="3450" t="s">
        <v>3583</v>
      </c>
      <c r="X31" s="3450">
        <v>0</v>
      </c>
      <c r="Y31" s="3450">
        <v>0</v>
      </c>
      <c r="Z31" s="3450" t="s">
        <v>3583</v>
      </c>
      <c r="AA31" s="3451">
        <v>39282.000497685185</v>
      </c>
      <c r="AB31" s="3451">
        <v>39282.000497685185</v>
      </c>
      <c r="AC31" s="3451">
        <v>39282.000497685185</v>
      </c>
      <c r="AD31" s="3450" t="s">
        <v>3583</v>
      </c>
      <c r="AE31" s="3450" t="s">
        <v>3587</v>
      </c>
      <c r="AF31" s="3450" t="s">
        <v>3788</v>
      </c>
      <c r="AG31" s="3450" t="s">
        <v>3789</v>
      </c>
      <c r="AH31" s="3450" t="s">
        <v>3590</v>
      </c>
      <c r="AI31" s="3450">
        <v>39800</v>
      </c>
      <c r="AJ31" s="3450">
        <v>5000</v>
      </c>
      <c r="AK31" s="3450" t="s">
        <v>633</v>
      </c>
      <c r="AL31" s="3450">
        <v>46500</v>
      </c>
      <c r="AM31" s="3450">
        <v>374.34</v>
      </c>
      <c r="AN31" s="3450">
        <v>437.36</v>
      </c>
      <c r="AO31" s="3450">
        <v>2796</v>
      </c>
      <c r="AP31" s="3452">
        <v>3267</v>
      </c>
      <c r="AQ31" s="3450" t="s">
        <v>3583</v>
      </c>
      <c r="AR31" s="3450" t="s">
        <v>3583</v>
      </c>
      <c r="AS31" s="3450">
        <v>16.829999999999998</v>
      </c>
      <c r="AT31" s="3450" t="s">
        <v>3764</v>
      </c>
      <c r="AU31" s="3450" t="s">
        <v>3582</v>
      </c>
      <c r="AV31" s="3450" t="s">
        <v>3583</v>
      </c>
      <c r="AW31" s="3450" t="s">
        <v>3582</v>
      </c>
      <c r="AX31" s="3450" t="s">
        <v>3583</v>
      </c>
      <c r="AY31" s="3450" t="s">
        <v>3583</v>
      </c>
      <c r="AZ31" s="3450" t="s">
        <v>3583</v>
      </c>
    </row>
    <row r="32" spans="1:52" s="3450" customFormat="1">
      <c r="A32" s="3450" t="s">
        <v>3790</v>
      </c>
      <c r="B32" s="3450" t="s">
        <v>3383</v>
      </c>
      <c r="C32" s="3450" t="s">
        <v>3791</v>
      </c>
      <c r="D32" s="3450" t="s">
        <v>3574</v>
      </c>
      <c r="E32" s="3450" t="s">
        <v>3575</v>
      </c>
      <c r="F32" s="3450" t="s">
        <v>3751</v>
      </c>
      <c r="G32" s="3450" t="s">
        <v>3792</v>
      </c>
      <c r="H32" s="3450" t="s">
        <v>3578</v>
      </c>
      <c r="I32" s="3450">
        <v>68544.5</v>
      </c>
      <c r="J32" s="3450">
        <v>154069.1</v>
      </c>
      <c r="K32" s="3450">
        <v>2.25</v>
      </c>
      <c r="L32" s="3450" t="s">
        <v>3579</v>
      </c>
      <c r="M32" s="3450" t="s">
        <v>3762</v>
      </c>
      <c r="N32" s="3450" t="s">
        <v>3581</v>
      </c>
      <c r="O32" s="3450" t="s">
        <v>3582</v>
      </c>
      <c r="P32" s="3450" t="s">
        <v>3583</v>
      </c>
      <c r="Q32" s="3450" t="s">
        <v>3583</v>
      </c>
      <c r="R32" s="3450" t="s">
        <v>3583</v>
      </c>
      <c r="S32" s="3450" t="s">
        <v>3583</v>
      </c>
      <c r="T32" s="3450" t="s">
        <v>3583</v>
      </c>
      <c r="U32" s="3450" t="s">
        <v>3583</v>
      </c>
      <c r="V32" s="3450">
        <v>0</v>
      </c>
      <c r="W32" s="3450">
        <v>0</v>
      </c>
      <c r="X32" s="3450">
        <v>0</v>
      </c>
      <c r="Y32" s="3450">
        <v>0</v>
      </c>
      <c r="Z32" s="3450" t="s">
        <v>3583</v>
      </c>
      <c r="AA32" s="3451">
        <v>38327.000497685185</v>
      </c>
      <c r="AB32" s="3451">
        <v>38341.000497685185</v>
      </c>
      <c r="AC32" s="3451">
        <v>38341.000497685185</v>
      </c>
      <c r="AD32" s="3450" t="s">
        <v>3583</v>
      </c>
      <c r="AE32" s="3450" t="s">
        <v>3587</v>
      </c>
      <c r="AF32" s="3450" t="s">
        <v>3793</v>
      </c>
      <c r="AG32" s="3450" t="s">
        <v>3794</v>
      </c>
      <c r="AH32" s="3450" t="s">
        <v>3663</v>
      </c>
      <c r="AI32" s="3450">
        <v>42699</v>
      </c>
      <c r="AJ32" s="3450" t="s">
        <v>3582</v>
      </c>
      <c r="AK32" s="3450" t="s">
        <v>633</v>
      </c>
      <c r="AL32" s="3450">
        <v>42699</v>
      </c>
      <c r="AM32" s="3450">
        <v>415.29</v>
      </c>
      <c r="AN32" s="3450">
        <v>415.29</v>
      </c>
      <c r="AO32" s="3450">
        <v>2771</v>
      </c>
      <c r="AP32" s="3452">
        <v>2771</v>
      </c>
      <c r="AQ32" s="3450" t="s">
        <v>3583</v>
      </c>
      <c r="AR32" s="3450" t="s">
        <v>3583</v>
      </c>
      <c r="AS32" s="3450">
        <v>0</v>
      </c>
      <c r="AT32" s="3450" t="s">
        <v>3583</v>
      </c>
      <c r="AU32" s="3450" t="s">
        <v>3582</v>
      </c>
      <c r="AV32" s="3450" t="s">
        <v>3583</v>
      </c>
      <c r="AW32" s="3450" t="s">
        <v>3582</v>
      </c>
      <c r="AX32" s="3450" t="s">
        <v>3583</v>
      </c>
      <c r="AY32" s="3450" t="s">
        <v>3583</v>
      </c>
      <c r="AZ32" s="3450" t="s">
        <v>3583</v>
      </c>
    </row>
    <row r="33" spans="1:52" s="3450" customFormat="1">
      <c r="A33" s="3450" t="s">
        <v>3795</v>
      </c>
      <c r="B33" s="3450" t="s">
        <v>3383</v>
      </c>
      <c r="C33" s="3450" t="s">
        <v>3796</v>
      </c>
      <c r="D33" s="3450" t="s">
        <v>3574</v>
      </c>
      <c r="E33" s="3450" t="s">
        <v>3575</v>
      </c>
      <c r="F33" s="3450" t="s">
        <v>3797</v>
      </c>
      <c r="G33" s="3450" t="s">
        <v>3798</v>
      </c>
      <c r="H33" s="3450" t="s">
        <v>3578</v>
      </c>
      <c r="I33" s="3450">
        <v>58564</v>
      </c>
      <c r="J33" s="3450">
        <v>127500</v>
      </c>
      <c r="K33" s="3450">
        <v>2.1800000000000002</v>
      </c>
      <c r="L33" s="3450" t="s">
        <v>3579</v>
      </c>
      <c r="M33" s="3450" t="s">
        <v>3787</v>
      </c>
      <c r="N33" s="3450" t="s">
        <v>3581</v>
      </c>
      <c r="O33" s="3450" t="s">
        <v>3582</v>
      </c>
      <c r="P33" s="3450" t="s">
        <v>3583</v>
      </c>
      <c r="Q33" s="3450" t="s">
        <v>3583</v>
      </c>
      <c r="R33" s="3450" t="s">
        <v>3583</v>
      </c>
      <c r="S33" s="3450" t="s">
        <v>3583</v>
      </c>
      <c r="T33" s="3450" t="s">
        <v>3583</v>
      </c>
      <c r="U33" s="3450" t="s">
        <v>3583</v>
      </c>
      <c r="V33" s="3450" t="s">
        <v>3583</v>
      </c>
      <c r="W33" s="3450" t="s">
        <v>3583</v>
      </c>
      <c r="X33" s="3450">
        <v>0</v>
      </c>
      <c r="Y33" s="3450">
        <v>0</v>
      </c>
      <c r="Z33" s="3450" t="s">
        <v>3583</v>
      </c>
      <c r="AA33" s="3451">
        <v>37872.000497685185</v>
      </c>
      <c r="AB33" s="3451">
        <v>37886.000497685185</v>
      </c>
      <c r="AC33" s="3451">
        <v>37886.000497685185</v>
      </c>
      <c r="AD33" s="3450" t="s">
        <v>3583</v>
      </c>
      <c r="AE33" s="3450" t="s">
        <v>3587</v>
      </c>
      <c r="AF33" s="3450" t="s">
        <v>3799</v>
      </c>
      <c r="AG33" s="3450" t="s">
        <v>3583</v>
      </c>
      <c r="AH33" s="3450" t="s">
        <v>3583</v>
      </c>
      <c r="AI33" s="3450">
        <v>9409.5</v>
      </c>
      <c r="AJ33" s="3450" t="s">
        <v>3582</v>
      </c>
      <c r="AK33" s="3450" t="s">
        <v>633</v>
      </c>
      <c r="AL33" s="3450">
        <v>9409.5</v>
      </c>
      <c r="AM33" s="3450">
        <v>107.11</v>
      </c>
      <c r="AN33" s="3450">
        <v>107.11</v>
      </c>
      <c r="AO33" s="3450">
        <v>738</v>
      </c>
      <c r="AP33" s="3452">
        <v>738</v>
      </c>
      <c r="AQ33" s="3450" t="s">
        <v>3583</v>
      </c>
      <c r="AR33" s="3450" t="s">
        <v>3583</v>
      </c>
      <c r="AS33" s="3450">
        <v>0</v>
      </c>
      <c r="AT33" s="3450" t="s">
        <v>3583</v>
      </c>
      <c r="AU33" s="3450" t="s">
        <v>3582</v>
      </c>
      <c r="AV33" s="3450" t="s">
        <v>3583</v>
      </c>
      <c r="AW33" s="3450" t="s">
        <v>3582</v>
      </c>
      <c r="AX33" s="3450" t="s">
        <v>3583</v>
      </c>
      <c r="AY33" s="3450" t="s">
        <v>3583</v>
      </c>
      <c r="AZ33" s="3450" t="s">
        <v>3583</v>
      </c>
    </row>
    <row r="34" spans="1:52" s="3450" customFormat="1">
      <c r="A34" s="3450" t="s">
        <v>3800</v>
      </c>
      <c r="B34" s="3450" t="s">
        <v>3383</v>
      </c>
      <c r="C34" s="3450" t="s">
        <v>3801</v>
      </c>
      <c r="D34" s="3450" t="s">
        <v>3574</v>
      </c>
      <c r="E34" s="3450" t="s">
        <v>3575</v>
      </c>
      <c r="F34" s="3450" t="s">
        <v>3751</v>
      </c>
      <c r="G34" s="3450" t="s">
        <v>3802</v>
      </c>
      <c r="H34" s="3450" t="s">
        <v>3578</v>
      </c>
      <c r="I34" s="3450">
        <v>9600</v>
      </c>
      <c r="J34" s="3450">
        <v>24000</v>
      </c>
      <c r="K34" s="3450">
        <v>2.5</v>
      </c>
      <c r="L34" s="3450" t="s">
        <v>3579</v>
      </c>
      <c r="M34" s="3450" t="s">
        <v>3787</v>
      </c>
      <c r="N34" s="3450" t="s">
        <v>3581</v>
      </c>
      <c r="O34" s="3450" t="s">
        <v>3582</v>
      </c>
      <c r="P34" s="3450" t="s">
        <v>3583</v>
      </c>
      <c r="Q34" s="3450" t="s">
        <v>3583</v>
      </c>
      <c r="R34" s="3450" t="s">
        <v>3583</v>
      </c>
      <c r="S34" s="3450" t="s">
        <v>3583</v>
      </c>
      <c r="T34" s="3450" t="s">
        <v>3583</v>
      </c>
      <c r="U34" s="3450" t="s">
        <v>3583</v>
      </c>
      <c r="V34" s="3450" t="s">
        <v>3583</v>
      </c>
      <c r="W34" s="3450" t="s">
        <v>3583</v>
      </c>
      <c r="X34" s="3450">
        <v>0</v>
      </c>
      <c r="Y34" s="3450">
        <v>0</v>
      </c>
      <c r="Z34" s="3450" t="s">
        <v>3583</v>
      </c>
      <c r="AA34" s="3451">
        <v>37861.000497685185</v>
      </c>
      <c r="AB34" s="3451">
        <v>37861.000497685185</v>
      </c>
      <c r="AC34" s="3451">
        <v>37861.000497685185</v>
      </c>
      <c r="AD34" s="3450" t="s">
        <v>3583</v>
      </c>
      <c r="AE34" s="3450" t="s">
        <v>3587</v>
      </c>
      <c r="AF34" s="3450" t="s">
        <v>3803</v>
      </c>
      <c r="AG34" s="3450" t="s">
        <v>3583</v>
      </c>
      <c r="AH34" s="3450" t="s">
        <v>3583</v>
      </c>
      <c r="AI34" s="3450">
        <v>504</v>
      </c>
      <c r="AJ34" s="3450" t="s">
        <v>3582</v>
      </c>
      <c r="AK34" s="3450" t="s">
        <v>633</v>
      </c>
      <c r="AL34" s="3450">
        <v>504</v>
      </c>
      <c r="AM34" s="3450">
        <v>35</v>
      </c>
      <c r="AN34" s="3450">
        <v>35</v>
      </c>
      <c r="AO34" s="3450">
        <v>210</v>
      </c>
      <c r="AP34" s="3452">
        <v>210</v>
      </c>
      <c r="AQ34" s="3450" t="s">
        <v>3583</v>
      </c>
      <c r="AR34" s="3450" t="s">
        <v>3583</v>
      </c>
      <c r="AS34" s="3450">
        <v>0</v>
      </c>
      <c r="AT34" s="3450" t="s">
        <v>3583</v>
      </c>
      <c r="AU34" s="3450" t="s">
        <v>3582</v>
      </c>
      <c r="AV34" s="3450" t="s">
        <v>3583</v>
      </c>
      <c r="AW34" s="3450" t="s">
        <v>3582</v>
      </c>
      <c r="AX34" s="3450" t="s">
        <v>3583</v>
      </c>
      <c r="AY34" s="3450" t="s">
        <v>3583</v>
      </c>
      <c r="AZ34" s="3450" t="s">
        <v>3583</v>
      </c>
    </row>
    <row r="35" spans="1:52" s="3450" customFormat="1">
      <c r="A35" s="3450" t="s">
        <v>3804</v>
      </c>
      <c r="B35" s="3450" t="s">
        <v>3383</v>
      </c>
      <c r="C35" s="3450" t="s">
        <v>3805</v>
      </c>
      <c r="D35" s="3450" t="s">
        <v>3574</v>
      </c>
      <c r="E35" s="3450" t="s">
        <v>3575</v>
      </c>
      <c r="F35" s="3450" t="s">
        <v>3751</v>
      </c>
      <c r="G35" s="3450" t="s">
        <v>3806</v>
      </c>
      <c r="H35" s="3450" t="s">
        <v>3578</v>
      </c>
      <c r="I35" s="3450">
        <v>347108</v>
      </c>
      <c r="J35" s="3450">
        <v>391010</v>
      </c>
      <c r="K35" s="3450">
        <v>1.1299999999999999</v>
      </c>
      <c r="L35" s="3450" t="s">
        <v>3579</v>
      </c>
      <c r="M35" s="3450" t="s">
        <v>3762</v>
      </c>
      <c r="N35" s="3450" t="s">
        <v>3581</v>
      </c>
      <c r="O35" s="3450" t="s">
        <v>3582</v>
      </c>
      <c r="P35" s="3450" t="s">
        <v>3583</v>
      </c>
      <c r="Q35" s="3450" t="s">
        <v>3583</v>
      </c>
      <c r="R35" s="3450" t="s">
        <v>3583</v>
      </c>
      <c r="S35" s="3450" t="s">
        <v>3583</v>
      </c>
      <c r="T35" s="3450" t="s">
        <v>3583</v>
      </c>
      <c r="U35" s="3450" t="s">
        <v>3583</v>
      </c>
      <c r="V35" s="3450" t="s">
        <v>3583</v>
      </c>
      <c r="W35" s="3450" t="s">
        <v>3583</v>
      </c>
      <c r="X35" s="3450">
        <v>0</v>
      </c>
      <c r="Y35" s="3450">
        <v>0</v>
      </c>
      <c r="Z35" s="3450" t="s">
        <v>3583</v>
      </c>
      <c r="AA35" s="3451">
        <v>38245.000497685185</v>
      </c>
      <c r="AB35" s="3451">
        <v>38259.000497685185</v>
      </c>
      <c r="AC35" s="3451">
        <v>38259.000497685185</v>
      </c>
      <c r="AD35" s="3450" t="s">
        <v>3583</v>
      </c>
      <c r="AE35" s="3450" t="s">
        <v>3587</v>
      </c>
      <c r="AF35" s="3450" t="s">
        <v>3807</v>
      </c>
      <c r="AG35" s="3450" t="s">
        <v>3583</v>
      </c>
      <c r="AH35" s="3450" t="s">
        <v>3583</v>
      </c>
      <c r="AI35" s="3450">
        <v>94004.74</v>
      </c>
      <c r="AJ35" s="3450" t="s">
        <v>3582</v>
      </c>
      <c r="AK35" s="3450" t="s">
        <v>633</v>
      </c>
      <c r="AL35" s="3450">
        <v>117500</v>
      </c>
      <c r="AM35" s="3450">
        <v>180.55</v>
      </c>
      <c r="AN35" s="3450">
        <v>225.67</v>
      </c>
      <c r="AO35" s="3450">
        <v>2404</v>
      </c>
      <c r="AP35" s="3452">
        <v>3005</v>
      </c>
      <c r="AQ35" s="3450" t="s">
        <v>3583</v>
      </c>
      <c r="AR35" s="3450" t="s">
        <v>3583</v>
      </c>
      <c r="AS35" s="3450">
        <v>24.99</v>
      </c>
      <c r="AT35" s="3450" t="s">
        <v>3583</v>
      </c>
      <c r="AU35" s="3450" t="s">
        <v>3582</v>
      </c>
      <c r="AV35" s="3450" t="s">
        <v>3583</v>
      </c>
      <c r="AW35" s="3450" t="s">
        <v>3582</v>
      </c>
      <c r="AX35" s="3450" t="s">
        <v>3583</v>
      </c>
      <c r="AY35" s="3450" t="s">
        <v>3583</v>
      </c>
      <c r="AZ35" s="3450" t="s">
        <v>3583</v>
      </c>
    </row>
    <row r="36" spans="1:52" s="3450" customFormat="1">
      <c r="A36" s="3450" t="s">
        <v>3808</v>
      </c>
      <c r="B36" s="3450" t="s">
        <v>3383</v>
      </c>
      <c r="C36" s="3450" t="s">
        <v>3809</v>
      </c>
      <c r="D36" s="3450" t="s">
        <v>3574</v>
      </c>
      <c r="E36" s="3450" t="s">
        <v>3575</v>
      </c>
      <c r="F36" s="3450" t="s">
        <v>3595</v>
      </c>
      <c r="G36" s="3450" t="s">
        <v>3810</v>
      </c>
      <c r="H36" s="3450" t="s">
        <v>3578</v>
      </c>
      <c r="I36" s="3450">
        <v>83800</v>
      </c>
      <c r="J36" s="3450">
        <v>79176</v>
      </c>
      <c r="K36" s="3450">
        <v>0.94</v>
      </c>
      <c r="L36" s="3450" t="s">
        <v>3688</v>
      </c>
      <c r="M36" s="3450" t="s">
        <v>3762</v>
      </c>
      <c r="N36" s="3450" t="s">
        <v>3581</v>
      </c>
      <c r="O36" s="3450" t="s">
        <v>3582</v>
      </c>
      <c r="P36" s="3450" t="s">
        <v>3583</v>
      </c>
      <c r="Q36" s="3450" t="s">
        <v>3583</v>
      </c>
      <c r="R36" s="3450" t="s">
        <v>3583</v>
      </c>
      <c r="S36" s="3450" t="s">
        <v>3583</v>
      </c>
      <c r="T36" s="3450" t="s">
        <v>3583</v>
      </c>
      <c r="U36" s="3450" t="s">
        <v>3583</v>
      </c>
      <c r="V36" s="3450" t="s">
        <v>3583</v>
      </c>
      <c r="W36" s="3450" t="s">
        <v>3583</v>
      </c>
      <c r="X36" s="3450">
        <v>0</v>
      </c>
      <c r="Y36" s="3450">
        <v>0</v>
      </c>
      <c r="Z36" s="3450" t="s">
        <v>3583</v>
      </c>
      <c r="AA36" s="3451">
        <v>38930.000497685185</v>
      </c>
      <c r="AB36" s="3451">
        <v>38930.000497685185</v>
      </c>
      <c r="AC36" s="3451">
        <v>38930.000497685185</v>
      </c>
      <c r="AD36" s="3450" t="s">
        <v>3583</v>
      </c>
      <c r="AE36" s="3450" t="s">
        <v>3587</v>
      </c>
      <c r="AF36" s="3450" t="s">
        <v>3811</v>
      </c>
      <c r="AG36" s="3450" t="s">
        <v>3583</v>
      </c>
      <c r="AH36" s="3450" t="s">
        <v>3583</v>
      </c>
      <c r="AI36" s="3450">
        <v>65052.84</v>
      </c>
      <c r="AJ36" s="3450">
        <v>7000</v>
      </c>
      <c r="AK36" s="3450" t="s">
        <v>633</v>
      </c>
      <c r="AL36" s="3450">
        <v>65066</v>
      </c>
      <c r="AM36" s="3450">
        <v>517.52</v>
      </c>
      <c r="AN36" s="3450">
        <v>517.63</v>
      </c>
      <c r="AO36" s="3450">
        <v>8216</v>
      </c>
      <c r="AP36" s="3452">
        <v>8218</v>
      </c>
      <c r="AQ36" s="3450" t="s">
        <v>3583</v>
      </c>
      <c r="AR36" s="3450" t="s">
        <v>3583</v>
      </c>
      <c r="AS36" s="3450">
        <v>0.02</v>
      </c>
      <c r="AT36" s="3450" t="s">
        <v>3638</v>
      </c>
      <c r="AU36" s="3450" t="s">
        <v>3582</v>
      </c>
      <c r="AV36" s="3450" t="s">
        <v>3583</v>
      </c>
      <c r="AW36" s="3450" t="s">
        <v>3582</v>
      </c>
      <c r="AX36" s="3450" t="s">
        <v>3583</v>
      </c>
      <c r="AY36" s="3450" t="s">
        <v>3583</v>
      </c>
      <c r="AZ36" s="3450" t="s">
        <v>3583</v>
      </c>
    </row>
    <row r="37" spans="1:52" s="3450" customFormat="1">
      <c r="A37" s="3450" t="s">
        <v>3812</v>
      </c>
      <c r="B37" s="3450" t="s">
        <v>3383</v>
      </c>
      <c r="C37" s="3450" t="s">
        <v>3813</v>
      </c>
      <c r="D37" s="3450" t="s">
        <v>3574</v>
      </c>
      <c r="E37" s="3450" t="s">
        <v>3575</v>
      </c>
      <c r="F37" s="3450" t="s">
        <v>3814</v>
      </c>
      <c r="G37" s="3450" t="s">
        <v>3815</v>
      </c>
      <c r="H37" s="3450" t="s">
        <v>3578</v>
      </c>
      <c r="I37" s="3450">
        <v>8088.5</v>
      </c>
      <c r="J37" s="3450">
        <v>19412.400000000001</v>
      </c>
      <c r="K37" s="3450">
        <v>2.4</v>
      </c>
      <c r="L37" s="3450" t="s">
        <v>3688</v>
      </c>
      <c r="M37" s="3450" t="s">
        <v>3816</v>
      </c>
      <c r="N37" s="3450" t="s">
        <v>3581</v>
      </c>
      <c r="O37" s="3450" t="s">
        <v>3582</v>
      </c>
      <c r="P37" s="3450" t="s">
        <v>3583</v>
      </c>
      <c r="Q37" s="3450" t="s">
        <v>3583</v>
      </c>
      <c r="R37" s="3450" t="s">
        <v>3583</v>
      </c>
      <c r="S37" s="3450" t="s">
        <v>3583</v>
      </c>
      <c r="T37" s="3450" t="s">
        <v>3583</v>
      </c>
      <c r="U37" s="3450" t="s">
        <v>3583</v>
      </c>
      <c r="V37" s="3450" t="s">
        <v>3583</v>
      </c>
      <c r="W37" s="3450" t="s">
        <v>3583</v>
      </c>
      <c r="X37" s="3450">
        <v>0</v>
      </c>
      <c r="Y37" s="3450">
        <v>0</v>
      </c>
      <c r="Z37" s="3450" t="s">
        <v>3583</v>
      </c>
      <c r="AA37" s="3451">
        <v>39157.000497685185</v>
      </c>
      <c r="AB37" s="3451">
        <v>39157.000497685185</v>
      </c>
      <c r="AC37" s="3451">
        <v>39157.000497685185</v>
      </c>
      <c r="AD37" s="3450" t="s">
        <v>3583</v>
      </c>
      <c r="AE37" s="3450" t="s">
        <v>3587</v>
      </c>
      <c r="AF37" s="3450" t="s">
        <v>3817</v>
      </c>
      <c r="AG37" s="3450" t="s">
        <v>3583</v>
      </c>
      <c r="AH37" s="3450" t="s">
        <v>3583</v>
      </c>
      <c r="AI37" s="3450">
        <v>9310</v>
      </c>
      <c r="AJ37" s="3450">
        <v>1800</v>
      </c>
      <c r="AK37" s="3450" t="s">
        <v>633</v>
      </c>
      <c r="AL37" s="3450">
        <v>12384.86</v>
      </c>
      <c r="AM37" s="3450">
        <v>767.34</v>
      </c>
      <c r="AN37" s="3450">
        <v>1020.78</v>
      </c>
      <c r="AO37" s="3450">
        <v>4796</v>
      </c>
      <c r="AP37" s="3452">
        <v>6380</v>
      </c>
      <c r="AQ37" s="3450" t="s">
        <v>3583</v>
      </c>
      <c r="AR37" s="3450" t="s">
        <v>3583</v>
      </c>
      <c r="AS37" s="3450">
        <v>33.03</v>
      </c>
      <c r="AT37" s="3450" t="s">
        <v>3764</v>
      </c>
      <c r="AU37" s="3450" t="s">
        <v>3582</v>
      </c>
      <c r="AV37" s="3450" t="s">
        <v>3583</v>
      </c>
      <c r="AW37" s="3450" t="s">
        <v>3582</v>
      </c>
      <c r="AX37" s="3450" t="s">
        <v>3583</v>
      </c>
      <c r="AY37" s="3450" t="s">
        <v>3583</v>
      </c>
      <c r="AZ37" s="3450" t="s">
        <v>3583</v>
      </c>
    </row>
    <row r="38" spans="1:52" s="3450" customFormat="1">
      <c r="A38" s="3450" t="s">
        <v>3818</v>
      </c>
      <c r="B38" s="3450" t="s">
        <v>3383</v>
      </c>
      <c r="C38" s="3450" t="s">
        <v>3819</v>
      </c>
      <c r="D38" s="3450" t="s">
        <v>3574</v>
      </c>
      <c r="E38" s="3450" t="s">
        <v>3575</v>
      </c>
      <c r="F38" s="3450" t="s">
        <v>3576</v>
      </c>
      <c r="G38" s="3450" t="s">
        <v>3820</v>
      </c>
      <c r="H38" s="3450" t="s">
        <v>3578</v>
      </c>
      <c r="I38" s="3450">
        <v>196881.7</v>
      </c>
      <c r="J38" s="3450">
        <v>287160.2</v>
      </c>
      <c r="K38" s="3450">
        <v>1.46</v>
      </c>
      <c r="L38" s="3450" t="s">
        <v>3579</v>
      </c>
      <c r="M38" s="3450" t="s">
        <v>3821</v>
      </c>
      <c r="N38" s="3450" t="s">
        <v>3581</v>
      </c>
      <c r="O38" s="3450" t="s">
        <v>3582</v>
      </c>
      <c r="P38" s="3450" t="s">
        <v>3583</v>
      </c>
      <c r="Q38" s="3450" t="s">
        <v>3583</v>
      </c>
      <c r="R38" s="3450" t="s">
        <v>3583</v>
      </c>
      <c r="S38" s="3450" t="s">
        <v>3583</v>
      </c>
      <c r="T38" s="3450" t="s">
        <v>3583</v>
      </c>
      <c r="U38" s="3450" t="s">
        <v>3583</v>
      </c>
      <c r="V38" s="3450" t="s">
        <v>3583</v>
      </c>
      <c r="W38" s="3450" t="s">
        <v>3583</v>
      </c>
      <c r="X38" s="3450">
        <v>0</v>
      </c>
      <c r="Y38" s="3450">
        <v>0</v>
      </c>
      <c r="Z38" s="3450" t="s">
        <v>3583</v>
      </c>
      <c r="AA38" s="3451">
        <v>39776.000497685185</v>
      </c>
      <c r="AB38" s="3451">
        <v>39791.000497685185</v>
      </c>
      <c r="AC38" s="3451">
        <v>39791.000497685185</v>
      </c>
      <c r="AD38" s="3450" t="s">
        <v>3583</v>
      </c>
      <c r="AE38" s="3450" t="s">
        <v>3587</v>
      </c>
      <c r="AF38" s="3450" t="s">
        <v>3822</v>
      </c>
      <c r="AG38" s="3450" t="s">
        <v>3662</v>
      </c>
      <c r="AH38" s="3450" t="s">
        <v>3663</v>
      </c>
      <c r="AI38" s="3450">
        <v>176327.8</v>
      </c>
      <c r="AJ38" s="3450">
        <v>18000</v>
      </c>
      <c r="AK38" s="3450" t="s">
        <v>633</v>
      </c>
      <c r="AL38" s="3450">
        <v>201000</v>
      </c>
      <c r="AM38" s="3450">
        <v>597.07000000000005</v>
      </c>
      <c r="AN38" s="3450">
        <v>680.61</v>
      </c>
      <c r="AO38" s="3450">
        <v>6140</v>
      </c>
      <c r="AP38" s="3452">
        <v>7000</v>
      </c>
      <c r="AQ38" s="3450" t="s">
        <v>3583</v>
      </c>
      <c r="AR38" s="3450" t="s">
        <v>3583</v>
      </c>
      <c r="AS38" s="3450">
        <v>13.99</v>
      </c>
      <c r="AT38" s="3450" t="s">
        <v>3823</v>
      </c>
      <c r="AU38" s="3450" t="s">
        <v>3582</v>
      </c>
      <c r="AV38" s="3450" t="s">
        <v>3583</v>
      </c>
      <c r="AW38" s="3450" t="s">
        <v>3582</v>
      </c>
      <c r="AX38" s="3450" t="s">
        <v>3583</v>
      </c>
      <c r="AY38" s="3450" t="s">
        <v>3583</v>
      </c>
      <c r="AZ38" s="3450" t="s">
        <v>3583</v>
      </c>
    </row>
    <row r="39" spans="1:52" s="3450" customFormat="1">
      <c r="A39" s="3450" t="s">
        <v>3824</v>
      </c>
      <c r="B39" s="3450" t="s">
        <v>3383</v>
      </c>
      <c r="C39" s="3450" t="s">
        <v>3825</v>
      </c>
      <c r="D39" s="3450" t="s">
        <v>3574</v>
      </c>
      <c r="E39" s="3450" t="s">
        <v>3575</v>
      </c>
      <c r="F39" s="3450" t="s">
        <v>3576</v>
      </c>
      <c r="G39" s="3450" t="s">
        <v>3826</v>
      </c>
      <c r="H39" s="3450" t="s">
        <v>3578</v>
      </c>
      <c r="I39" s="3450">
        <v>49553.58</v>
      </c>
      <c r="J39" s="3450">
        <v>69375.02</v>
      </c>
      <c r="K39" s="3450">
        <v>1.4</v>
      </c>
      <c r="L39" s="3450" t="s">
        <v>3688</v>
      </c>
      <c r="M39" s="3450" t="s">
        <v>3827</v>
      </c>
      <c r="N39" s="3450" t="s">
        <v>3581</v>
      </c>
      <c r="O39" s="3450" t="s">
        <v>3582</v>
      </c>
      <c r="P39" s="3450" t="s">
        <v>3583</v>
      </c>
      <c r="Q39" s="3450" t="s">
        <v>3583</v>
      </c>
      <c r="R39" s="3450" t="s">
        <v>3583</v>
      </c>
      <c r="S39" s="3450" t="s">
        <v>3583</v>
      </c>
      <c r="T39" s="3450" t="s">
        <v>3583</v>
      </c>
      <c r="U39" s="3450" t="s">
        <v>3583</v>
      </c>
      <c r="V39" s="3450" t="s">
        <v>3583</v>
      </c>
      <c r="W39" s="3450" t="s">
        <v>3583</v>
      </c>
      <c r="X39" s="3450">
        <v>0</v>
      </c>
      <c r="Y39" s="3450">
        <v>0</v>
      </c>
      <c r="Z39" s="3450" t="s">
        <v>3583</v>
      </c>
      <c r="AA39" s="3451">
        <v>39401.000497685185</v>
      </c>
      <c r="AB39" s="3451">
        <v>39401.000497685185</v>
      </c>
      <c r="AC39" s="3451">
        <v>39401.000497685185</v>
      </c>
      <c r="AD39" s="3450" t="s">
        <v>3583</v>
      </c>
      <c r="AE39" s="3450" t="s">
        <v>3587</v>
      </c>
      <c r="AF39" s="3450" t="s">
        <v>3828</v>
      </c>
      <c r="AG39" s="3450" t="s">
        <v>3583</v>
      </c>
      <c r="AH39" s="3450" t="s">
        <v>3583</v>
      </c>
      <c r="AI39" s="3450">
        <v>22050</v>
      </c>
      <c r="AJ39" s="3450">
        <v>2200</v>
      </c>
      <c r="AK39" s="3450" t="s">
        <v>633</v>
      </c>
      <c r="AL39" s="3450">
        <v>25000</v>
      </c>
      <c r="AM39" s="3450">
        <v>296.64999999999998</v>
      </c>
      <c r="AN39" s="3450">
        <v>336.34</v>
      </c>
      <c r="AO39" s="3450">
        <v>3178</v>
      </c>
      <c r="AP39" s="3452">
        <v>3604</v>
      </c>
      <c r="AQ39" s="3450" t="s">
        <v>3583</v>
      </c>
      <c r="AR39" s="3450" t="s">
        <v>3583</v>
      </c>
      <c r="AS39" s="3450">
        <v>13.38</v>
      </c>
      <c r="AT39" s="3450" t="s">
        <v>3764</v>
      </c>
      <c r="AU39" s="3450" t="s">
        <v>3582</v>
      </c>
      <c r="AV39" s="3450" t="s">
        <v>3583</v>
      </c>
      <c r="AW39" s="3450" t="s">
        <v>3582</v>
      </c>
      <c r="AX39" s="3450" t="s">
        <v>3583</v>
      </c>
      <c r="AY39" s="3450" t="s">
        <v>3583</v>
      </c>
      <c r="AZ39" s="3450" t="s">
        <v>3583</v>
      </c>
    </row>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FFC000"/>
    <pageSetUpPr fitToPage="1"/>
  </sheetPr>
  <dimension ref="A1:AG34"/>
  <sheetViews>
    <sheetView view="pageBreakPreview" zoomScale="90" zoomScaleNormal="70" zoomScaleSheetLayoutView="90" workbookViewId="0">
      <selection activeCell="G18" sqref="G1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1592</v>
      </c>
      <c r="B1" s="1188"/>
      <c r="C1" s="1189"/>
      <c r="D1" s="1187"/>
      <c r="E1" s="2797"/>
      <c r="F1" s="2797"/>
      <c r="G1" s="2662"/>
      <c r="H1" s="2797"/>
      <c r="I1" s="2797"/>
      <c r="J1" s="2797"/>
      <c r="K1" s="2798">
        <f>MATCH(C1,'数据-取费表'!A6:A16,0)+5</f>
        <v>9</v>
      </c>
    </row>
    <row r="2" spans="1:33" ht="18" customHeight="1">
      <c r="A2" s="201" t="s">
        <v>1460</v>
      </c>
      <c r="B2" s="204">
        <f ca="1">C32</f>
        <v>520266</v>
      </c>
      <c r="C2" s="276" t="s">
        <v>1593</v>
      </c>
      <c r="D2" s="276"/>
      <c r="E2" s="2797"/>
      <c r="F2" s="2797"/>
      <c r="G2" s="2797"/>
      <c r="H2" s="2797"/>
      <c r="I2" s="2797"/>
      <c r="J2" s="2797"/>
      <c r="K2" s="2797"/>
    </row>
    <row r="3" spans="1:33" ht="18" customHeight="1" thickBot="1">
      <c r="A3" s="203" t="s">
        <v>1462</v>
      </c>
      <c r="B3" s="204">
        <f ca="1">ROUND(B2*10000/IF(C1="",'数据-汇总表'!E3,INDIRECT("'数据-取费表'!K"&amp;$K$1)),0)</f>
        <v>49499</v>
      </c>
      <c r="C3" s="276" t="s">
        <v>1594</v>
      </c>
      <c r="D3" s="276"/>
      <c r="E3" s="2797"/>
      <c r="F3" s="2797"/>
      <c r="G3" s="2797"/>
      <c r="H3" s="2797"/>
      <c r="I3" s="2797"/>
      <c r="J3" s="2797"/>
      <c r="K3" s="2797"/>
    </row>
    <row r="4" spans="1:33" s="783" customFormat="1" ht="16.5" customHeight="1">
      <c r="A4" s="780" t="s">
        <v>1595</v>
      </c>
      <c r="B4" s="781"/>
      <c r="C4" s="822">
        <f>SUM(C8:K8)</f>
        <v>833001</v>
      </c>
      <c r="D4" s="781"/>
      <c r="E4" s="781"/>
      <c r="F4" s="781"/>
      <c r="G4" s="781"/>
      <c r="H4" s="781"/>
      <c r="I4" s="781"/>
      <c r="J4" s="781"/>
      <c r="K4" s="782"/>
    </row>
    <row r="5" spans="1:33" s="787" customFormat="1" ht="15">
      <c r="A5" s="784" t="s">
        <v>1596</v>
      </c>
      <c r="B5" s="785" t="s">
        <v>1597</v>
      </c>
      <c r="C5" s="1857" t="s">
        <v>3403</v>
      </c>
      <c r="D5" s="1857" t="s">
        <v>3327</v>
      </c>
      <c r="E5" s="1857" t="s">
        <v>3326</v>
      </c>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1598</v>
      </c>
      <c r="C6" s="789">
        <f>'比较法-住宅'!B3</f>
        <v>119223</v>
      </c>
      <c r="D6" s="789">
        <f>'比较法-仓储下跃'!B3</f>
        <v>30757</v>
      </c>
      <c r="E6" s="789">
        <f>'比较法-车位'!B3</f>
        <v>11749</v>
      </c>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1599</v>
      </c>
      <c r="B7" s="131" t="s">
        <v>1600</v>
      </c>
      <c r="C7" s="277">
        <f>SUMIF('数据-汇总表'!$C19:$C33,假设开发法!C5,'数据-汇总表'!$E19:$E33)</f>
        <v>62293.630000000019</v>
      </c>
      <c r="D7" s="277">
        <f>SUMIF('数据-汇总表'!$C19:$C33,假设开发法!D5,'数据-汇总表'!$E19:$E33)</f>
        <v>21052.319999999996</v>
      </c>
      <c r="E7" s="277">
        <f>SUMIF('数据-汇总表'!$C19:$C33,假设开发法!E5,'数据-汇总表'!$E19:$E33)</f>
        <v>21761.329999999823</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1601</v>
      </c>
      <c r="B8" s="164" t="s">
        <v>1602</v>
      </c>
      <c r="C8" s="823">
        <f>'比较法-住宅'!B2</f>
        <v>742683</v>
      </c>
      <c r="D8" s="823">
        <f>'比较法-仓储下跃'!B2</f>
        <v>64751</v>
      </c>
      <c r="E8" s="823">
        <f>'比较法-车位'!B2</f>
        <v>25567</v>
      </c>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1603</v>
      </c>
      <c r="B9" s="781"/>
      <c r="C9" s="781"/>
      <c r="D9" s="781"/>
      <c r="E9" s="781"/>
      <c r="F9" s="781"/>
      <c r="G9" s="781"/>
      <c r="H9" s="781"/>
      <c r="I9" s="781"/>
      <c r="J9" s="781"/>
      <c r="K9" s="782"/>
    </row>
    <row r="10" spans="1:33" s="797" customFormat="1" ht="13.5" customHeight="1">
      <c r="A10" s="784" t="s">
        <v>1604</v>
      </c>
      <c r="B10" s="5" t="s">
        <v>1605</v>
      </c>
      <c r="C10" s="793" t="s">
        <v>1606</v>
      </c>
      <c r="D10" s="794" t="s">
        <v>1607</v>
      </c>
      <c r="E10" s="794" t="s">
        <v>1608</v>
      </c>
      <c r="F10" s="794" t="s">
        <v>1609</v>
      </c>
      <c r="G10" s="5"/>
      <c r="H10" s="795"/>
      <c r="I10" s="795"/>
      <c r="J10" s="795"/>
      <c r="K10" s="796"/>
    </row>
    <row r="11" spans="1:33" s="801" customFormat="1" ht="13.5" customHeight="1">
      <c r="A11" s="798" t="s">
        <v>635</v>
      </c>
      <c r="B11" s="799" t="s">
        <v>1610</v>
      </c>
      <c r="C11" s="279">
        <f ca="1">IF(C1="",'数据-取费表'!P16,INDIRECT("'数据-取费表'!p"&amp;$K$1)+INDIRECT("'数据-取费表'!ar"&amp;$K$1))</f>
        <v>66144</v>
      </c>
      <c r="D11" s="800"/>
      <c r="E11" s="329"/>
      <c r="F11" s="810">
        <f ca="1">1-IF('数据-取费表'!B24=0,1,IF(C1="",'数据-取费表'!N16,INDIRECT("'数据-取费表'!n"&amp;$K$1)))</f>
        <v>1</v>
      </c>
      <c r="G11" s="5"/>
      <c r="H11" s="795"/>
      <c r="I11" s="795"/>
      <c r="J11" s="795"/>
      <c r="K11" s="796"/>
    </row>
    <row r="12" spans="1:33" s="801" customFormat="1" ht="13.5" customHeight="1">
      <c r="A12" s="798" t="s">
        <v>636</v>
      </c>
      <c r="B12" s="799" t="s">
        <v>1611</v>
      </c>
      <c r="C12" s="21">
        <f ca="1">ROUND(C11*F12,0)</f>
        <v>3307</v>
      </c>
      <c r="D12" s="800"/>
      <c r="E12" s="329"/>
      <c r="F12" s="810">
        <f>'数据-取费表'!B33</f>
        <v>0.05</v>
      </c>
      <c r="G12" s="5" t="s">
        <v>1612</v>
      </c>
      <c r="H12" s="795"/>
      <c r="I12" s="795"/>
      <c r="J12" s="795"/>
      <c r="K12" s="796"/>
    </row>
    <row r="13" spans="1:33" s="801" customFormat="1" ht="13.5" customHeight="1">
      <c r="A13" s="798" t="s">
        <v>637</v>
      </c>
      <c r="B13" s="799" t="s">
        <v>1613</v>
      </c>
      <c r="C13" s="21">
        <f ca="1">ROUND(IF(C1="",SUMIF('数据-取费表'!C:C,"住宅",'数据-取费表'!P:P)*F13,IF(INDIRECT("'数据-取费表'!c"&amp;$K$1)="住宅",INDIRECT("'数据-取费表'!P"&amp;$K$1)*F13,0)),0)</f>
        <v>1215</v>
      </c>
      <c r="D13" s="844"/>
      <c r="E13" s="329"/>
      <c r="F13" s="810">
        <f>'数据-取费表'!B34</f>
        <v>0.03</v>
      </c>
      <c r="G13" s="5" t="s">
        <v>1614</v>
      </c>
      <c r="H13" s="795"/>
      <c r="I13" s="795"/>
      <c r="J13" s="795"/>
      <c r="K13" s="796"/>
    </row>
    <row r="14" spans="1:33" s="803" customFormat="1" ht="13.5" customHeight="1">
      <c r="A14" s="798" t="s">
        <v>638</v>
      </c>
      <c r="B14" s="799" t="s">
        <v>1615</v>
      </c>
      <c r="C14" s="21">
        <f ca="1">ROUND(D14*E14*F11/10000,0)</f>
        <v>1892</v>
      </c>
      <c r="D14" s="844">
        <f ca="1">IF(C1="",'数据-汇总表'!E3,INDIRECT("'数据-取费表'!K"&amp;$K$1)+INDIRECT("'数据-取费表'!S"&amp;$K$1))</f>
        <v>105107.27999999982</v>
      </c>
      <c r="E14" s="21">
        <f>'数据-取费表'!B35</f>
        <v>180</v>
      </c>
      <c r="F14" s="802"/>
      <c r="G14" s="5" t="s">
        <v>1616</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1617</v>
      </c>
      <c r="C15" s="809">
        <f ca="1">ROUND(C11*F15,0)</f>
        <v>1323</v>
      </c>
      <c r="D15" s="804"/>
      <c r="E15" s="809"/>
      <c r="F15" s="810">
        <f>'数据-取费表'!B36</f>
        <v>0.02</v>
      </c>
      <c r="G15" s="131" t="s">
        <v>1618</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1619</v>
      </c>
      <c r="C16" s="809">
        <f ca="1">SUM(C11:C15)</f>
        <v>73881</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1620</v>
      </c>
      <c r="C17" s="21">
        <f ca="1">ROUND(D17*E17/10000,0)</f>
        <v>0</v>
      </c>
      <c r="D17" s="844">
        <f ca="1">D14</f>
        <v>105107.27999999982</v>
      </c>
      <c r="E17" s="21">
        <f>'数据-取费表'!B32</f>
        <v>0</v>
      </c>
      <c r="F17" s="804"/>
      <c r="G17" s="131" t="s">
        <v>1621</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1622</v>
      </c>
      <c r="C18" s="21">
        <f ca="1">C19+C20-IF(C1="",'数据-取费表'!B29,IF(G18="已全部缴纳",C19+C20,H18))</f>
        <v>1853</v>
      </c>
      <c r="D18" s="844"/>
      <c r="E18" s="21"/>
      <c r="F18" s="802"/>
      <c r="G18" s="1859"/>
      <c r="H18" s="1184"/>
      <c r="I18" s="1860" t="s">
        <v>1623</v>
      </c>
      <c r="J18" s="805"/>
      <c r="K18" s="806"/>
    </row>
    <row r="19" spans="1:33" s="801" customFormat="1" ht="13.5" customHeight="1">
      <c r="A19" s="798" t="s">
        <v>360</v>
      </c>
      <c r="B19" s="799" t="s">
        <v>1624</v>
      </c>
      <c r="C19" s="21">
        <f ca="1">ROUND(D19*E19/10000,0)</f>
        <v>997</v>
      </c>
      <c r="D19" s="844">
        <f ca="1">IF(C1="",'数据-汇总表'!E5,IF(INDIRECT("'数据-取费表'!c"&amp;$K$1)="住宅",INDIRECT("'数据-取费表'!k"&amp;$K$1),0))</f>
        <v>62293.630000000019</v>
      </c>
      <c r="E19" s="21">
        <f>'数据-取费表'!B27</f>
        <v>160</v>
      </c>
      <c r="F19" s="802"/>
      <c r="G19" s="12"/>
      <c r="H19" s="1186"/>
      <c r="I19" s="807"/>
      <c r="J19" s="807"/>
      <c r="K19" s="808"/>
    </row>
    <row r="20" spans="1:33" s="801" customFormat="1" ht="13.5" customHeight="1">
      <c r="A20" s="798" t="s">
        <v>361</v>
      </c>
      <c r="B20" s="799" t="s">
        <v>1625</v>
      </c>
      <c r="C20" s="21">
        <f ca="1">ROUND(D20*E20/10000,0)</f>
        <v>856</v>
      </c>
      <c r="D20" s="844">
        <f ca="1">IF(C1="",'数据-汇总表'!E6,IF(INDIRECT("'数据-取费表'!c"&amp;$K$1)="住宅",INDIRECT("'数据-取费表'!s"&amp;$K$1),INDIRECT("'数据-取费表'!k"&amp;$K$1)+INDIRECT("'数据-取费表'!s"&amp;$K$1)))</f>
        <v>42813.649999999805</v>
      </c>
      <c r="E20" s="21">
        <f>'数据-取费表'!B28</f>
        <v>200</v>
      </c>
      <c r="F20" s="802"/>
      <c r="G20" s="12"/>
      <c r="H20" s="807"/>
      <c r="I20" s="807"/>
      <c r="J20" s="807"/>
      <c r="K20" s="808"/>
    </row>
    <row r="21" spans="1:33" s="801" customFormat="1" ht="13.5" customHeight="1">
      <c r="A21" s="788" t="s">
        <v>357</v>
      </c>
      <c r="B21" s="811" t="s">
        <v>1626</v>
      </c>
      <c r="C21" s="812">
        <f ca="1">C16+C17+C18</f>
        <v>75734</v>
      </c>
      <c r="D21" s="813"/>
      <c r="E21" s="281"/>
      <c r="F21" s="281"/>
      <c r="G21" s="131" t="s">
        <v>1627</v>
      </c>
      <c r="H21" s="805"/>
      <c r="I21" s="805"/>
      <c r="J21" s="805"/>
      <c r="K21" s="806"/>
    </row>
    <row r="22" spans="1:33" s="801" customFormat="1" ht="13.5" customHeight="1">
      <c r="A22" s="788" t="s">
        <v>1599</v>
      </c>
      <c r="B22" s="811" t="s">
        <v>1628</v>
      </c>
      <c r="C22" s="812">
        <f ca="1">ROUND(C21*F22,0)</f>
        <v>2272</v>
      </c>
      <c r="D22" s="281"/>
      <c r="E22" s="281"/>
      <c r="F22" s="814">
        <f>'数据-取费表'!B37</f>
        <v>0.03</v>
      </c>
      <c r="G22" s="5" t="s">
        <v>1629</v>
      </c>
      <c r="H22" s="795"/>
      <c r="I22" s="795"/>
      <c r="J22" s="795"/>
      <c r="K22" s="796"/>
    </row>
    <row r="23" spans="1:33" s="801" customFormat="1" ht="13.5" customHeight="1">
      <c r="A23" s="788" t="s">
        <v>1601</v>
      </c>
      <c r="B23" s="811" t="s">
        <v>1630</v>
      </c>
      <c r="C23" s="812">
        <f ca="1">ROUND(C4*F23*F11,0)</f>
        <v>24990</v>
      </c>
      <c r="D23" s="281"/>
      <c r="E23" s="281"/>
      <c r="F23" s="814">
        <f>'数据-取费表'!B38</f>
        <v>0.03</v>
      </c>
      <c r="G23" s="5" t="s">
        <v>1631</v>
      </c>
      <c r="H23" s="795"/>
      <c r="I23" s="795"/>
      <c r="J23" s="795"/>
      <c r="K23" s="796"/>
    </row>
    <row r="24" spans="1:33" s="801" customFormat="1" ht="13.5" customHeight="1">
      <c r="A24" s="788" t="s">
        <v>1632</v>
      </c>
      <c r="B24" s="811" t="s">
        <v>1633</v>
      </c>
      <c r="C24" s="280">
        <f>ROUND(F24/(1+'数据-取费表'!C42),4)</f>
        <v>2.9000000000000001E-2</v>
      </c>
      <c r="D24" s="281" t="s">
        <v>12</v>
      </c>
      <c r="E24" s="281"/>
      <c r="F24" s="814">
        <f>IF(项目基本情况!B8="出让",0,'数据-取费表'!B48+'数据-取费表'!B49)</f>
        <v>3.0499999999999999E-2</v>
      </c>
      <c r="G24" s="5" t="s">
        <v>1634</v>
      </c>
      <c r="H24" s="816"/>
      <c r="I24" s="816"/>
      <c r="J24" s="816"/>
      <c r="K24" s="817"/>
    </row>
    <row r="25" spans="1:33" s="801" customFormat="1" ht="13.5" customHeight="1">
      <c r="A25" s="788" t="s">
        <v>1635</v>
      </c>
      <c r="B25" s="813" t="s">
        <v>1636</v>
      </c>
      <c r="C25" s="1104">
        <f ca="1">C27</f>
        <v>5219</v>
      </c>
      <c r="D25" s="280">
        <f ca="1">C26</f>
        <v>0.1069</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1637</v>
      </c>
      <c r="C26" s="1105">
        <f ca="1">ROUND(IF('数据-取费表'!B22&lt;=1,(1+C24)*F25*'数据-取费表'!B24,(1+C24)*(POWER((1+F25),'数据-取费表'!B24)-1)),4)</f>
        <v>0.1069</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1638</v>
      </c>
      <c r="C27" s="1106">
        <f ca="1">ROUND(IF('数据-取费表'!B22&lt;=1,(C21+C22+C23)*F25*'数据-取费表'!B24/2,(C21+C22+C23)*(POWER((1+F25),'数据-取费表'!B24/2)-1)),0)</f>
        <v>5219</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1639</v>
      </c>
      <c r="B28" s="1862" t="s">
        <v>1640</v>
      </c>
      <c r="C28" s="287">
        <f ca="1">C30</f>
        <v>14419</v>
      </c>
      <c r="D28" s="280">
        <f ca="1">C29</f>
        <v>0.14410000000000001</v>
      </c>
      <c r="E28" s="282" t="s">
        <v>12</v>
      </c>
      <c r="F28" s="288">
        <f ca="1">IF(C1="",'数据-取费表'!Q16,INDIRECT("'数据-取费表'!q"&amp;$K$1))</f>
        <v>0.14000000000000001</v>
      </c>
      <c r="G28" s="815"/>
      <c r="H28" s="816"/>
      <c r="I28" s="816"/>
      <c r="J28" s="816"/>
      <c r="K28" s="817"/>
    </row>
    <row r="29" spans="1:33" s="291" customFormat="1" ht="13.5" customHeight="1">
      <c r="A29" s="798" t="s">
        <v>358</v>
      </c>
      <c r="B29" s="820" t="s">
        <v>1641</v>
      </c>
      <c r="C29" s="284">
        <f ca="1">ROUND((1+C24)*F28*'数据-取费表'!B24/'数据-取费表'!B20,4)</f>
        <v>0.14410000000000001</v>
      </c>
      <c r="D29" s="284"/>
      <c r="E29" s="285"/>
      <c r="F29" s="290"/>
      <c r="G29" s="131" t="s">
        <v>1642</v>
      </c>
      <c r="H29" s="805"/>
      <c r="I29" s="805"/>
      <c r="J29" s="805"/>
      <c r="K29" s="806"/>
    </row>
    <row r="30" spans="1:33" s="291" customFormat="1" ht="13.5" customHeight="1">
      <c r="A30" s="798" t="s">
        <v>359</v>
      </c>
      <c r="B30" s="820" t="s">
        <v>1643</v>
      </c>
      <c r="C30" s="292">
        <f ca="1">ROUND((C21+C22+C23)*F28,0)</f>
        <v>14419</v>
      </c>
      <c r="D30" s="284"/>
      <c r="E30" s="285"/>
      <c r="F30" s="290"/>
      <c r="G30" s="131"/>
      <c r="H30" s="805"/>
      <c r="I30" s="805"/>
      <c r="J30" s="805"/>
      <c r="K30" s="806"/>
    </row>
    <row r="31" spans="1:33" s="801" customFormat="1" ht="13.5" customHeight="1" thickBot="1">
      <c r="A31" s="1863" t="s">
        <v>1644</v>
      </c>
      <c r="B31" s="831" t="s">
        <v>1645</v>
      </c>
      <c r="C31" s="832">
        <f>ROUND(C4*F31/(1+'数据-取费表'!C42),0)</f>
        <v>44427</v>
      </c>
      <c r="D31" s="833"/>
      <c r="E31" s="834"/>
      <c r="F31" s="835">
        <f>'数据-取费表'!B41</f>
        <v>5.6000000000000001E-2</v>
      </c>
      <c r="G31" s="836" t="s">
        <v>1646</v>
      </c>
      <c r="H31" s="837"/>
      <c r="I31" s="837"/>
      <c r="J31" s="837"/>
      <c r="K31" s="838"/>
    </row>
    <row r="32" spans="1:33" s="797" customFormat="1" ht="13.5" customHeight="1" thickBot="1">
      <c r="A32" s="826" t="s">
        <v>1647</v>
      </c>
      <c r="B32" s="827"/>
      <c r="C32" s="828">
        <f ca="1">ROUND((C4-C21-C22-C23-C25-C28-C31)/(1+C24+D25+D28),0)</f>
        <v>520266</v>
      </c>
      <c r="D32" s="827"/>
      <c r="E32" s="827"/>
      <c r="F32" s="827"/>
      <c r="G32" s="829" t="s">
        <v>1648</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c r="D1" s="1359" t="s">
        <v>43</v>
      </c>
      <c r="E1" s="1360" t="s">
        <v>678</v>
      </c>
      <c r="F1" s="1060">
        <f ca="1">J53</f>
        <v>0</v>
      </c>
      <c r="G1" s="1375">
        <f>MATCH(C1,'数据-取费表'!A6:A16,0)+5</f>
        <v>9</v>
      </c>
      <c r="H1" s="2683"/>
      <c r="I1" s="2684"/>
      <c r="J1" s="2684"/>
      <c r="K1" s="2685"/>
      <c r="L1" s="2684"/>
      <c r="M1" s="2684"/>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#DIV/0!</v>
      </c>
      <c r="C2" s="1384" t="s">
        <v>805</v>
      </c>
      <c r="D2" s="1384"/>
      <c r="E2" s="1385"/>
      <c r="F2" s="1386"/>
      <c r="G2" s="2697"/>
      <c r="H2" s="2686"/>
      <c r="I2" s="2686"/>
      <c r="J2" s="2686"/>
      <c r="K2" s="2687"/>
      <c r="L2" s="2686"/>
      <c r="M2" s="2686"/>
    </row>
    <row r="3" spans="1:37" ht="18" customHeight="1" thickBot="1">
      <c r="A3" s="1387" t="s">
        <v>806</v>
      </c>
      <c r="B3" s="1388">
        <f ca="1">IF(ISERROR(B2*10000/F43),0,ROUND(B2*10000/F43,0))</f>
        <v>0</v>
      </c>
      <c r="C3" s="1384" t="s">
        <v>807</v>
      </c>
      <c r="D3" s="1384"/>
      <c r="E3" s="1385"/>
      <c r="F3" s="1386"/>
      <c r="G3" s="2697"/>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8">
        <f ca="1">C6+C10+C12</f>
        <v>0</v>
      </c>
      <c r="D5" s="1361" t="s">
        <v>693</v>
      </c>
      <c r="E5" s="1069"/>
      <c r="F5" s="1070"/>
      <c r="G5" s="1381"/>
      <c r="H5" s="299">
        <v>1</v>
      </c>
      <c r="I5" s="300" t="s">
        <v>692</v>
      </c>
      <c r="J5" s="1068">
        <f ca="1">J6+J10+J12</f>
        <v>0</v>
      </c>
      <c r="K5" s="1361" t="s">
        <v>693</v>
      </c>
      <c r="L5" s="1069"/>
      <c r="M5" s="1070"/>
    </row>
    <row r="6" spans="1:37" ht="18" customHeight="1">
      <c r="A6" s="1067" t="s">
        <v>398</v>
      </c>
      <c r="B6" s="3703" t="s">
        <v>694</v>
      </c>
      <c r="C6" s="1072">
        <f ca="1">ROUND(F6*F8*F7*(1-F9)/10000,0)</f>
        <v>0</v>
      </c>
      <c r="D6" s="155" t="s">
        <v>2107</v>
      </c>
      <c r="E6" s="302" t="s">
        <v>696</v>
      </c>
      <c r="F6" s="303">
        <f ca="1">INDIRECT("'数据-取费表'!u"&amp;$G$1)</f>
        <v>0</v>
      </c>
      <c r="G6" s="1381"/>
      <c r="H6" s="1067" t="s">
        <v>398</v>
      </c>
      <c r="I6" s="3703" t="s">
        <v>694</v>
      </c>
      <c r="J6" s="301">
        <f ca="1">ROUND(M6*M8*M7*(1-M9)/10000,0)</f>
        <v>0</v>
      </c>
      <c r="K6" s="155" t="s">
        <v>2106</v>
      </c>
      <c r="L6" s="302" t="s">
        <v>696</v>
      </c>
      <c r="M6" s="303">
        <f ca="1">INDIRECT("'数据-取费表'!z"&amp;$G$1)</f>
        <v>0</v>
      </c>
    </row>
    <row r="7" spans="1:37" ht="18" customHeight="1">
      <c r="A7" s="1071"/>
      <c r="B7" s="3704"/>
      <c r="C7" s="1073"/>
      <c r="D7" s="307"/>
      <c r="E7" s="1074" t="s">
        <v>697</v>
      </c>
      <c r="F7" s="303">
        <f ca="1">IF(INDIRECT("'数据-取费表'!ah"&amp;$G$1)="",INDIRECT("'数据-取费表'!k"&amp;$G$1),INDIRECT("'数据-取费表'!ah"&amp;$G$1))</f>
        <v>0</v>
      </c>
      <c r="G7" s="1381"/>
      <c r="H7" s="304"/>
      <c r="I7" s="3704"/>
      <c r="J7" s="306"/>
      <c r="K7" s="307"/>
      <c r="L7" s="302" t="s">
        <v>697</v>
      </c>
      <c r="M7" s="303">
        <f ca="1">F7</f>
        <v>0</v>
      </c>
    </row>
    <row r="8" spans="1:37" ht="18" customHeight="1">
      <c r="A8" s="304"/>
      <c r="B8" s="3704"/>
      <c r="C8" s="306"/>
      <c r="D8" s="307"/>
      <c r="E8" s="302" t="s">
        <v>698</v>
      </c>
      <c r="F8" s="303">
        <f ca="1">INDIRECT("'数据-取费表'!ai"&amp;$G$1)</f>
        <v>0</v>
      </c>
      <c r="G8" s="1381"/>
      <c r="H8" s="304"/>
      <c r="I8" s="3704"/>
      <c r="J8" s="306"/>
      <c r="K8" s="307"/>
      <c r="L8" s="302" t="s">
        <v>698</v>
      </c>
      <c r="M8" s="303">
        <f ca="1">INDIRECT("'数据-取费表'!ai"&amp;$G$1)</f>
        <v>0</v>
      </c>
    </row>
    <row r="9" spans="1:37" ht="18" customHeight="1">
      <c r="A9" s="304"/>
      <c r="B9" s="3705"/>
      <c r="C9" s="306"/>
      <c r="D9" s="307"/>
      <c r="E9" s="302" t="s">
        <v>699</v>
      </c>
      <c r="F9" s="312">
        <f ca="1">INDIRECT("'数据-取费表'!w"&amp;$G$1)</f>
        <v>0</v>
      </c>
      <c r="G9" s="1381"/>
      <c r="H9" s="304"/>
      <c r="I9" s="3705"/>
      <c r="J9" s="306"/>
      <c r="K9" s="307"/>
      <c r="L9" s="313" t="s">
        <v>699</v>
      </c>
      <c r="M9" s="314">
        <f ca="1">INDIRECT("'数据-取费表'!ab"&amp;$G$1)</f>
        <v>0</v>
      </c>
    </row>
    <row r="10" spans="1:37" ht="18" customHeight="1">
      <c r="A10" s="1067" t="s">
        <v>402</v>
      </c>
      <c r="B10" s="1362" t="s">
        <v>700</v>
      </c>
      <c r="C10" s="316">
        <f ca="1">ROUND(IF(F10="押一",C6/12*F11,IF(F10="押二",C6/12*2*F11,IF(F10="押三",C6/12*3*F11,C11*F11))),0)</f>
        <v>0</v>
      </c>
      <c r="D10" s="1363" t="s">
        <v>2115</v>
      </c>
      <c r="E10" s="313" t="s">
        <v>701</v>
      </c>
      <c r="F10" s="1114"/>
      <c r="G10" s="1381"/>
      <c r="H10" s="1067" t="s">
        <v>402</v>
      </c>
      <c r="I10" s="1362" t="s">
        <v>700</v>
      </c>
      <c r="J10" s="301">
        <f ca="1">ROUND(IF(M10="押一",J6/12*M11,IF(M10="押二",J6/12*2*M11,IF(M10="押三",J6/12*3*M11,J11*M11))),0)</f>
        <v>0</v>
      </c>
      <c r="K10" s="1363" t="s">
        <v>2114</v>
      </c>
      <c r="L10" s="313" t="s">
        <v>701</v>
      </c>
      <c r="M10" s="1114"/>
    </row>
    <row r="11" spans="1:37" ht="18" customHeight="1">
      <c r="A11" s="308"/>
      <c r="B11" s="1364" t="s">
        <v>679</v>
      </c>
      <c r="C11" s="957"/>
      <c r="D11" s="1365"/>
      <c r="E11" s="313" t="s">
        <v>702</v>
      </c>
      <c r="F11" s="314">
        <f ca="1">'数据-取费表'!B39</f>
        <v>1.4999999999999999E-2</v>
      </c>
      <c r="G11" s="1381"/>
      <c r="H11" s="1075"/>
      <c r="I11" s="1364" t="s">
        <v>679</v>
      </c>
      <c r="J11" s="957"/>
      <c r="K11" s="682"/>
      <c r="L11" s="313"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2" t="s">
        <v>707</v>
      </c>
      <c r="C14" s="318">
        <f ca="1">INDIRECT("'数据-取费表'!m"&amp;$G$1)+INDIRECT("'数据-取费表'!t"&amp;$G$1)</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7" t="s">
        <v>393</v>
      </c>
      <c r="I16" s="1078" t="s">
        <v>714</v>
      </c>
      <c r="J16" s="310">
        <f ca="1">ROUND(J17+J22+J23+J24,0)</f>
        <v>0</v>
      </c>
      <c r="K16" s="1085" t="s">
        <v>715</v>
      </c>
      <c r="L16" s="1086"/>
      <c r="M16" s="1070"/>
    </row>
    <row r="17" spans="1:37" s="1394" customFormat="1" ht="18" customHeight="1">
      <c r="A17" s="980" t="s">
        <v>681</v>
      </c>
      <c r="B17" s="302" t="s">
        <v>716</v>
      </c>
      <c r="C17" s="21">
        <f ca="1">ROUND(F17*(F43+INDIRECT("'数据-取费表'!S"&amp;$G$1))/10000,0)</f>
        <v>0</v>
      </c>
      <c r="D17" s="302" t="s">
        <v>717</v>
      </c>
      <c r="E17" s="302" t="s">
        <v>718</v>
      </c>
      <c r="F17" s="23">
        <f>'数据-取费表'!B35</f>
        <v>180</v>
      </c>
      <c r="G17" s="1393"/>
      <c r="H17" s="980" t="s">
        <v>398</v>
      </c>
      <c r="I17" s="302" t="s">
        <v>719</v>
      </c>
      <c r="J17" s="2310">
        <f ca="1">ROUND(IF(AND(项目基本情况!B11="自然人",项目基本情况!B10="北京市"),J6*M17/(1+'数据-取费表'!C42),J18+J19+J20),2)</f>
        <v>0</v>
      </c>
      <c r="K17" s="1342" t="s">
        <v>720</v>
      </c>
      <c r="L17" s="1341" t="s">
        <v>721</v>
      </c>
      <c r="M17" s="2309"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0.02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IF(K19="按租金收入计税",ROUND(J6*M19/(1+'数据-取费表'!C42),2),ROUND(C29*M19*0.7,2))</f>
        <v>0</v>
      </c>
      <c r="K19" s="1367" t="s">
        <v>3329</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0.03</v>
      </c>
      <c r="G20" s="1393"/>
      <c r="H20" s="980" t="s">
        <v>680</v>
      </c>
      <c r="I20" s="155" t="s">
        <v>730</v>
      </c>
      <c r="J20" s="22">
        <f ca="1">ROUND(M20*M21/10000,2)</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0.03</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80" t="s">
        <v>437</v>
      </c>
      <c r="I23" s="302" t="s">
        <v>742</v>
      </c>
      <c r="J23" s="21">
        <f ca="1">ROUND(J13*M23,2)</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1.5E-3</v>
      </c>
      <c r="D24" s="329" t="str">
        <f>IF(F23&lt;=1,"销售费用×利率×(建设周期÷2)","销售费用×((1+利率)^(建设周期÷2)-1)")</f>
        <v>销售费用×((1+利率)^(建设周期÷2)-1)</v>
      </c>
      <c r="E24" s="302" t="s">
        <v>747</v>
      </c>
      <c r="F24" s="331">
        <f ca="1">'数据-取费表'!B40</f>
        <v>3.3500000000000002E-2</v>
      </c>
      <c r="G24" s="1393"/>
      <c r="H24" s="1087" t="s">
        <v>684</v>
      </c>
      <c r="I24" s="1088" t="s">
        <v>728</v>
      </c>
      <c r="J24" s="1089">
        <f ca="1">ROUND(J5*M24,2)</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0</v>
      </c>
      <c r="D30" s="1085" t="s">
        <v>715</v>
      </c>
      <c r="E30" s="1086"/>
      <c r="F30" s="1070"/>
      <c r="G30" s="1381"/>
      <c r="H30" s="2688"/>
      <c r="I30" s="1395"/>
      <c r="J30" s="1396"/>
      <c r="K30" s="2466"/>
      <c r="L30" s="2689"/>
      <c r="M30" s="2690"/>
    </row>
    <row r="31" spans="1:37" ht="18" customHeight="1">
      <c r="A31" s="980" t="s">
        <v>398</v>
      </c>
      <c r="B31" s="302" t="s">
        <v>719</v>
      </c>
      <c r="C31" s="2310">
        <f ca="1">ROUND(IF(AND(项目基本情况!B11="自然人",项目基本情况!B10="北京市"),C6*F31/(1+'数据-取费表'!C42),C32+C33+C34),2)</f>
        <v>0</v>
      </c>
      <c r="D31" s="1342" t="s">
        <v>720</v>
      </c>
      <c r="E31" s="1341" t="s">
        <v>770</v>
      </c>
      <c r="F31" s="2309" t="str">
        <f>IF(项目基本情况!B11="企业","——",IF(M47="住宅",IF(F6*F7*F8/12/(1+'数据-取费表'!F30)&gt;100000,4%,2.5%),IF(F6*F7*F8/12/(1+'数据-取费表'!F30)&gt;100000,12%,7%)))</f>
        <v>——</v>
      </c>
      <c r="G31" s="1381"/>
      <c r="H31" s="2799" t="s">
        <v>2299</v>
      </c>
      <c r="I31" s="1395"/>
      <c r="J31" s="1396"/>
      <c r="K31" s="2466"/>
      <c r="L31" s="2689"/>
      <c r="M31" s="2690"/>
    </row>
    <row r="32" spans="1:37" ht="18" customHeight="1">
      <c r="A32" s="980" t="s">
        <v>397</v>
      </c>
      <c r="B32" s="302" t="s">
        <v>723</v>
      </c>
      <c r="C32" s="21">
        <f ca="1">IF(项目基本情况!B11="自然人","——",ROUND(C6*F32/(1+'数据-取费表'!C42),2))</f>
        <v>0</v>
      </c>
      <c r="D32" s="1341" t="s">
        <v>724</v>
      </c>
      <c r="E32" s="302" t="s">
        <v>712</v>
      </c>
      <c r="F32" s="331">
        <f>'数据-取费表'!B41</f>
        <v>5.6000000000000001E-2</v>
      </c>
      <c r="G32" s="1381"/>
      <c r="H32" s="2688"/>
      <c r="I32" s="1395"/>
      <c r="J32" s="1396"/>
      <c r="K32" s="2466"/>
      <c r="L32" s="2689"/>
      <c r="M32" s="2690"/>
    </row>
    <row r="33" spans="1:18" ht="18" customHeight="1">
      <c r="A33" s="980" t="s">
        <v>399</v>
      </c>
      <c r="B33" s="302" t="s">
        <v>727</v>
      </c>
      <c r="C33" s="21">
        <f ca="1">IF(项目基本情况!B11="自然人","——",IF(D33="按租金收入计税",ROUND(C6*F33/(1+'数据-取费表'!C42),2),IF(D33="按房产原值计税",ROUND(C29*F33*0.7,2),INDIRECT("'数据-取费表'!Aj"&amp;$G$1))))</f>
        <v>0</v>
      </c>
      <c r="D33" s="1367" t="s">
        <v>3329</v>
      </c>
      <c r="E33" s="302" t="s">
        <v>712</v>
      </c>
      <c r="F33" s="322">
        <f>IF(D33="按票据","——",IF(D33="按租金收入计税",'数据-取费表'!B51,'数据-取费表'!B50))</f>
        <v>0.12</v>
      </c>
      <c r="G33" s="1381"/>
      <c r="H33" s="2691"/>
      <c r="I33" s="1395"/>
      <c r="J33" s="1396"/>
      <c r="K33" s="2692"/>
      <c r="L33" s="2691"/>
      <c r="M33" s="2691"/>
    </row>
    <row r="34" spans="1:18" ht="18" customHeight="1">
      <c r="A34" s="1067" t="s">
        <v>680</v>
      </c>
      <c r="B34" s="155" t="s">
        <v>730</v>
      </c>
      <c r="C34" s="22">
        <f ca="1">IF(项目基本情况!B11="自然人","——",ROUND(F34*F35/10000,2))</f>
        <v>0</v>
      </c>
      <c r="D34" s="324" t="s">
        <v>731</v>
      </c>
      <c r="E34" s="302" t="s">
        <v>732</v>
      </c>
      <c r="F34" s="325">
        <f>'数据-取费表'!B52</f>
        <v>1.5</v>
      </c>
      <c r="G34" s="1381"/>
      <c r="H34" s="2688"/>
      <c r="I34" s="1395"/>
      <c r="J34" s="1396"/>
      <c r="K34" s="2693"/>
      <c r="L34" s="2694"/>
      <c r="M34" s="2694"/>
    </row>
    <row r="35" spans="1:18" ht="18" customHeight="1">
      <c r="A35" s="1101"/>
      <c r="B35" s="1099"/>
      <c r="C35" s="26"/>
      <c r="D35" s="327"/>
      <c r="E35" s="302" t="s">
        <v>736</v>
      </c>
      <c r="F35" s="303">
        <f ca="1">INDIRECT("'数据-取费表'!r"&amp;$G$1)</f>
        <v>0</v>
      </c>
      <c r="G35" s="1381"/>
      <c r="H35" s="2688"/>
      <c r="I35" s="1395"/>
      <c r="J35" s="1396"/>
      <c r="K35" s="2692"/>
      <c r="L35" s="2691"/>
      <c r="M35" s="2691"/>
    </row>
    <row r="36" spans="1:18" ht="18" customHeight="1">
      <c r="A36" s="1100" t="s">
        <v>402</v>
      </c>
      <c r="B36" s="302" t="s">
        <v>738</v>
      </c>
      <c r="C36" s="21">
        <f ca="1">ROUND(C29*F36,2)</f>
        <v>0</v>
      </c>
      <c r="D36" s="1341" t="s">
        <v>771</v>
      </c>
      <c r="E36" s="302" t="s">
        <v>712</v>
      </c>
      <c r="F36" s="328">
        <f ca="1">INDIRECT("'数据-取费表'!Ak"&amp;$G$1)</f>
        <v>0</v>
      </c>
      <c r="G36" s="1381"/>
      <c r="H36" s="2691"/>
      <c r="I36" s="1395"/>
      <c r="J36" s="1396"/>
      <c r="K36" s="2535"/>
      <c r="L36" s="2691"/>
      <c r="M36" s="2691"/>
    </row>
    <row r="37" spans="1:18" ht="18" customHeight="1">
      <c r="A37" s="980" t="s">
        <v>437</v>
      </c>
      <c r="B37" s="302" t="s">
        <v>742</v>
      </c>
      <c r="C37" s="21">
        <f ca="1">ROUND(C13*F37,2)</f>
        <v>0</v>
      </c>
      <c r="D37" s="1341" t="s">
        <v>743</v>
      </c>
      <c r="E37" s="302" t="s">
        <v>744</v>
      </c>
      <c r="F37" s="330">
        <f ca="1">INDIRECT("'数据-取费表'!Al"&amp;$G$1)</f>
        <v>0</v>
      </c>
      <c r="G37" s="1381"/>
      <c r="H37" s="2691"/>
      <c r="I37" s="1395"/>
      <c r="J37" s="1396"/>
      <c r="K37" s="2535"/>
      <c r="L37" s="2691"/>
      <c r="M37" s="2691"/>
    </row>
    <row r="38" spans="1:18" ht="18" customHeight="1" thickBot="1">
      <c r="A38" s="1087" t="s">
        <v>684</v>
      </c>
      <c r="B38" s="1088" t="s">
        <v>728</v>
      </c>
      <c r="C38" s="1089">
        <f ca="1">ROUND(C5*F38,2)</f>
        <v>0</v>
      </c>
      <c r="D38" s="1090" t="s">
        <v>748</v>
      </c>
      <c r="E38" s="1088" t="s">
        <v>744</v>
      </c>
      <c r="F38" s="1084">
        <f ca="1">INDIRECT("'数据-取费表'!Am"&amp;$G$1)</f>
        <v>0</v>
      </c>
      <c r="G38" s="1381"/>
      <c r="H38" s="2691"/>
      <c r="I38" s="1395"/>
      <c r="J38" s="1396"/>
      <c r="K38" s="2695"/>
      <c r="L38" s="2691"/>
      <c r="M38" s="2691"/>
    </row>
    <row r="39" spans="1:18" ht="24.6" customHeight="1" thickTop="1">
      <c r="A39" s="1077" t="s">
        <v>394</v>
      </c>
      <c r="B39" s="1092" t="s">
        <v>772</v>
      </c>
      <c r="C39" s="310">
        <f ca="1">C5-C30</f>
        <v>0</v>
      </c>
      <c r="D39" s="1093" t="s">
        <v>773</v>
      </c>
      <c r="E39" s="1094"/>
      <c r="F39" s="1095"/>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ROUND(C40*10000/F43,0)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696" t="s">
        <v>808</v>
      </c>
      <c r="P45" s="1458"/>
      <c r="Q45" s="1458"/>
      <c r="R45" s="1458"/>
    </row>
    <row r="46" spans="1:18" s="1381" customFormat="1" ht="13.5" thickBot="1">
      <c r="A46" s="1401" t="s">
        <v>809</v>
      </c>
      <c r="C46" s="1402" t="e">
        <f ca="1">C68-C40</f>
        <v>#DIV/0!</v>
      </c>
      <c r="D46" s="1403" t="str">
        <f>C2</f>
        <v>万元</v>
      </c>
      <c r="E46" s="1397"/>
      <c r="F46" s="1397"/>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1115"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300" t="s">
        <v>692</v>
      </c>
      <c r="C48" s="1356">
        <f ca="1">C49+C53+C55</f>
        <v>0</v>
      </c>
      <c r="D48" s="1110"/>
      <c r="E48" s="1111"/>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2">
        <f ca="1">ROUND(F49*F51*F50*(1-F52)/10000,0)</f>
        <v>0</v>
      </c>
      <c r="D49" s="1053" t="s">
        <v>2108</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1116"/>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24.75" thickBot="1">
      <c r="A53" s="1150" t="s">
        <v>440</v>
      </c>
      <c r="B53" s="1370" t="s">
        <v>700</v>
      </c>
      <c r="C53" s="316">
        <f ca="1">ROUND(IF(F53="押一",C49/12*F11,IF(F53="押二",C49/12*2*F11,IF(F53="押三",C49/12*3*F11,C54*F11))),0)</f>
        <v>0</v>
      </c>
      <c r="D53" s="1363" t="s">
        <v>2114</v>
      </c>
      <c r="E53" s="313" t="s">
        <v>701</v>
      </c>
      <c r="F53" s="1114"/>
      <c r="I53" s="1436" t="s">
        <v>836</v>
      </c>
      <c r="J53" s="2162">
        <f ca="1">IF(M47="住宅",IF(D1="——",MAX(J51,L48),MAX(J51,L48-'数据-取费表'!B24)),IF(D1="——",MIN(J51,L48),MIN(J51,L48-'数据-取费表'!B24)))</f>
        <v>0</v>
      </c>
      <c r="K53" s="3701" t="s">
        <v>837</v>
      </c>
      <c r="L53" s="3702"/>
      <c r="O53" s="1415" t="s">
        <v>409</v>
      </c>
      <c r="P53" s="1416" t="s">
        <v>838</v>
      </c>
      <c r="Q53" s="1417" t="e">
        <f ca="1">Q47+Q48</f>
        <v>#DIV/0!</v>
      </c>
      <c r="R53" s="1417" t="s">
        <v>410</v>
      </c>
    </row>
    <row r="54" spans="1:18" s="1381" customFormat="1" ht="13.5" thickBot="1">
      <c r="A54" s="1151"/>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25.5" thickTop="1" thickBot="1">
      <c r="A56" s="955">
        <v>2</v>
      </c>
      <c r="B56" s="956" t="s">
        <v>704</v>
      </c>
      <c r="C56" s="232">
        <f ca="1">C13</f>
        <v>0</v>
      </c>
      <c r="D56" s="1444"/>
      <c r="E56" s="1445"/>
      <c r="F56" s="1437"/>
      <c r="I56" s="1446" t="s">
        <v>842</v>
      </c>
      <c r="J56" s="1447"/>
      <c r="K56" s="1418" t="s">
        <v>843</v>
      </c>
      <c r="L56" s="1421">
        <f ca="1">IF(L48&lt;J51,"——",L48-J53)</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845</v>
      </c>
      <c r="L57" s="1421">
        <f ca="1">IF(L48&lt;J51,"——",IF(L55="比较法",L49,IF(L55="基准地价",L50,L51)))</f>
        <v>0</v>
      </c>
      <c r="O57" s="1415" t="s">
        <v>404</v>
      </c>
      <c r="P57" s="1416" t="s">
        <v>846</v>
      </c>
      <c r="Q57" s="1417" t="e">
        <f ca="1">L60</f>
        <v>#DIV/0!</v>
      </c>
      <c r="R57" s="1417" t="s">
        <v>847</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0">
        <f ca="1">ROUND(IF(AND(项目基本情况!B11="自然人",项目基本情况!B10="北京市"),C49*F59/(1+'数据-取费表'!C42),C60+C61+C62),0)</f>
        <v>0</v>
      </c>
      <c r="D59" s="961" t="s">
        <v>720</v>
      </c>
      <c r="E59" s="962" t="s">
        <v>721</v>
      </c>
      <c r="F59" s="2309"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3329</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ROUND(C48*F66,2)</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2"/>
      <c r="O70" s="1425" t="s">
        <v>412</v>
      </c>
      <c r="P70" s="1464" t="s">
        <v>873</v>
      </c>
      <c r="Q70" s="1417">
        <f ca="1">C13</f>
        <v>0</v>
      </c>
      <c r="R70" s="1417" t="s">
        <v>818</v>
      </c>
    </row>
    <row r="71" spans="1:18" s="1381" customFormat="1" ht="13.5" thickBot="1">
      <c r="A71" s="969" t="s">
        <v>396</v>
      </c>
      <c r="B71" s="970" t="s">
        <v>776</v>
      </c>
      <c r="C71" s="336" t="e">
        <f ca="1">ROUND(C68*10000/F71,0)</f>
        <v>#DIV/0!</v>
      </c>
      <c r="D71" s="971" t="s">
        <v>777</v>
      </c>
      <c r="E71" s="972" t="s">
        <v>778</v>
      </c>
      <c r="F71" s="339">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3" customWidth="1"/>
    <col min="3" max="3" width="11.875" style="653"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c r="D1" s="1359" t="s">
        <v>43</v>
      </c>
      <c r="E1" s="1360" t="s">
        <v>678</v>
      </c>
      <c r="F1" s="1060">
        <f ca="1">J53</f>
        <v>0</v>
      </c>
      <c r="G1" s="1375">
        <f>MATCH(C1,'数据-取费表'!A6:A16,0)+5</f>
        <v>9</v>
      </c>
      <c r="H1" s="2683"/>
      <c r="I1" s="2684"/>
      <c r="J1" s="2684"/>
      <c r="K1" s="2685"/>
      <c r="L1" s="2684"/>
      <c r="M1" s="2684"/>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16" t="e">
        <f ca="1">ROUND(D2/10000,4)</f>
        <v>#DIV/0!</v>
      </c>
      <c r="C2" s="1384" t="s">
        <v>879</v>
      </c>
      <c r="D2" s="1468" t="e">
        <f ca="1">C40+J29+L46</f>
        <v>#DIV/0!</v>
      </c>
      <c r="E2" s="1385" t="s">
        <v>880</v>
      </c>
      <c r="F2" s="1386"/>
      <c r="G2" s="2697"/>
      <c r="H2" s="2686"/>
      <c r="I2" s="2686"/>
      <c r="J2" s="2686"/>
      <c r="K2" s="2687"/>
      <c r="L2" s="2686"/>
      <c r="M2" s="2686"/>
    </row>
    <row r="3" spans="1:37" ht="18" customHeight="1" thickBot="1">
      <c r="A3" s="1387" t="s">
        <v>881</v>
      </c>
      <c r="B3" s="1388">
        <f ca="1">IF(ISERROR(D2/F43),0,ROUND(D2/F43,0))</f>
        <v>0</v>
      </c>
      <c r="C3" s="1384" t="s">
        <v>882</v>
      </c>
      <c r="D3" s="1384"/>
      <c r="E3" s="1385"/>
      <c r="F3" s="1386"/>
      <c r="G3" s="2697"/>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8">
        <f ca="1">C6+C10+C12</f>
        <v>0</v>
      </c>
      <c r="D5" s="1361" t="s">
        <v>889</v>
      </c>
      <c r="E5" s="1069"/>
      <c r="F5" s="1070"/>
      <c r="G5" s="1381"/>
      <c r="H5" s="299">
        <v>1</v>
      </c>
      <c r="I5" s="300" t="s">
        <v>888</v>
      </c>
      <c r="J5" s="1068">
        <f ca="1">J6+J10+J12</f>
        <v>0</v>
      </c>
      <c r="K5" s="1361" t="s">
        <v>889</v>
      </c>
      <c r="L5" s="1069"/>
      <c r="M5" s="1070"/>
    </row>
    <row r="6" spans="1:37" ht="18" customHeight="1">
      <c r="A6" s="1067" t="s">
        <v>398</v>
      </c>
      <c r="B6" s="3703" t="s">
        <v>694</v>
      </c>
      <c r="C6" s="1072">
        <f ca="1">ROUND(F6*F8*F7*(1-F9),0)</f>
        <v>0</v>
      </c>
      <c r="D6" s="155" t="s">
        <v>2104</v>
      </c>
      <c r="E6" s="302" t="s">
        <v>696</v>
      </c>
      <c r="F6" s="303">
        <f ca="1">INDIRECT("'数据-取费表'!u"&amp;$G$1)</f>
        <v>0</v>
      </c>
      <c r="G6" s="1381"/>
      <c r="H6" s="1067" t="s">
        <v>398</v>
      </c>
      <c r="I6" s="3703" t="s">
        <v>694</v>
      </c>
      <c r="J6" s="301">
        <f ca="1">ROUND(M6*M8*M7*(1-M9),0)</f>
        <v>0</v>
      </c>
      <c r="K6" s="1373" t="s">
        <v>2105</v>
      </c>
      <c r="L6" s="302" t="s">
        <v>696</v>
      </c>
      <c r="M6" s="303">
        <f ca="1">INDIRECT("'数据-取费表'!z"&amp;$G$1)</f>
        <v>0</v>
      </c>
    </row>
    <row r="7" spans="1:37" ht="18" customHeight="1">
      <c r="A7" s="1071"/>
      <c r="B7" s="3704"/>
      <c r="C7" s="1073"/>
      <c r="D7" s="307"/>
      <c r="E7" s="1074" t="s">
        <v>697</v>
      </c>
      <c r="F7" s="303">
        <f ca="1">IF(INDIRECT("'数据-取费表'!ah"&amp;$G$1)="",INDIRECT("'数据-取费表'!k"&amp;$G$1),INDIRECT("'数据-取费表'!ah"&amp;$G$1))</f>
        <v>0</v>
      </c>
      <c r="G7" s="1381"/>
      <c r="H7" s="304"/>
      <c r="I7" s="3704"/>
      <c r="J7" s="306"/>
      <c r="K7" s="307"/>
      <c r="L7" s="302" t="s">
        <v>697</v>
      </c>
      <c r="M7" s="303">
        <f ca="1">F7</f>
        <v>0</v>
      </c>
    </row>
    <row r="8" spans="1:37" ht="18" customHeight="1">
      <c r="A8" s="304"/>
      <c r="B8" s="3704"/>
      <c r="C8" s="306"/>
      <c r="D8" s="307"/>
      <c r="E8" s="302" t="s">
        <v>698</v>
      </c>
      <c r="F8" s="303">
        <f ca="1">INDIRECT("'数据-取费表'!ai"&amp;$G$1)</f>
        <v>0</v>
      </c>
      <c r="G8" s="1381"/>
      <c r="H8" s="304"/>
      <c r="I8" s="3704"/>
      <c r="J8" s="306"/>
      <c r="K8" s="307"/>
      <c r="L8" s="302" t="s">
        <v>698</v>
      </c>
      <c r="M8" s="303">
        <f ca="1">INDIRECT("'数据-取费表'!ai"&amp;$G$1)</f>
        <v>0</v>
      </c>
    </row>
    <row r="9" spans="1:37" ht="18" customHeight="1">
      <c r="A9" s="304"/>
      <c r="B9" s="3705"/>
      <c r="C9" s="306"/>
      <c r="D9" s="307"/>
      <c r="E9" s="302" t="s">
        <v>699</v>
      </c>
      <c r="F9" s="312">
        <f ca="1">INDIRECT("'数据-取费表'!w"&amp;$G$1)</f>
        <v>0</v>
      </c>
      <c r="G9" s="1381"/>
      <c r="H9" s="304"/>
      <c r="I9" s="3705"/>
      <c r="J9" s="306"/>
      <c r="K9" s="307"/>
      <c r="L9" s="313" t="s">
        <v>699</v>
      </c>
      <c r="M9" s="314">
        <f ca="1">INDIRECT("'数据-取费表'!ab"&amp;$G$1)</f>
        <v>0</v>
      </c>
    </row>
    <row r="10" spans="1:37" ht="18" customHeight="1">
      <c r="A10" s="1067" t="s">
        <v>402</v>
      </c>
      <c r="B10" s="1362" t="s">
        <v>700</v>
      </c>
      <c r="C10" s="316">
        <f ca="1">ROUND(IF(F10="押一",C6/12*F11,IF(F10="押二",C6/12*2*F11,IF(F10="押三",C6/12*3*F11,C11*F11))),0)</f>
        <v>0</v>
      </c>
      <c r="D10" s="1363" t="s">
        <v>2114</v>
      </c>
      <c r="E10" s="313" t="s">
        <v>701</v>
      </c>
      <c r="F10" s="1114"/>
      <c r="G10" s="1381"/>
      <c r="H10" s="1067" t="s">
        <v>402</v>
      </c>
      <c r="I10" s="1362" t="s">
        <v>700</v>
      </c>
      <c r="J10" s="301">
        <f ca="1">ROUND(IF(M10="押一",J6/12*M11,IF(M10="押二",J6/12*2*M11,IF(M10="押三",J6/12*3*M11,J11*M11))),0)</f>
        <v>0</v>
      </c>
      <c r="K10" s="1374" t="s">
        <v>2116</v>
      </c>
      <c r="L10" s="313" t="s">
        <v>701</v>
      </c>
      <c r="M10" s="1114"/>
    </row>
    <row r="11" spans="1:37" ht="18" customHeight="1">
      <c r="A11" s="308"/>
      <c r="B11" s="1364" t="s">
        <v>890</v>
      </c>
      <c r="C11" s="957"/>
      <c r="D11" s="307"/>
      <c r="E11" s="313" t="s">
        <v>702</v>
      </c>
      <c r="F11" s="314">
        <f ca="1">'数据-取费表'!B39</f>
        <v>1.4999999999999999E-2</v>
      </c>
      <c r="G11" s="1381"/>
      <c r="H11" s="1075"/>
      <c r="I11" s="1364" t="s">
        <v>891</v>
      </c>
      <c r="J11" s="957"/>
      <c r="K11" s="682"/>
      <c r="L11" s="313" t="s">
        <v>702</v>
      </c>
      <c r="M11" s="860">
        <f ca="1">'数据-取费表'!B39</f>
        <v>1.4999999999999999E-2</v>
      </c>
    </row>
    <row r="12" spans="1:37" ht="18" customHeight="1" thickBot="1">
      <c r="A12" s="1081" t="s">
        <v>437</v>
      </c>
      <c r="B12" s="1366" t="s">
        <v>703</v>
      </c>
      <c r="C12" s="1082"/>
      <c r="D12" s="1083"/>
      <c r="E12" s="1088"/>
      <c r="F12" s="1084"/>
      <c r="G12" s="1381"/>
      <c r="H12" s="1081" t="s">
        <v>437</v>
      </c>
      <c r="I12" s="1366"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1"/>
      <c r="H13" s="1077">
        <v>2</v>
      </c>
      <c r="I13" s="1078" t="s">
        <v>704</v>
      </c>
      <c r="J13" s="1066">
        <f ca="1">ROUND(J14*J15,0)</f>
        <v>0</v>
      </c>
      <c r="K13" s="1085" t="s">
        <v>705</v>
      </c>
      <c r="L13" s="1389"/>
      <c r="M13" s="1390"/>
    </row>
    <row r="14" spans="1:37" ht="18" customHeight="1">
      <c r="A14" s="980" t="s">
        <v>397</v>
      </c>
      <c r="B14" s="302" t="s">
        <v>707</v>
      </c>
      <c r="C14" s="318">
        <f ca="1">ROUND(INDIRECT("'数据-取费表'!l"&amp;$G$1)*F43+'数据-取费表'!L14*INDIRECT("'数据-取费表'!S"&amp;$G$1),0)</f>
        <v>0</v>
      </c>
      <c r="D14" s="1342" t="s">
        <v>708</v>
      </c>
      <c r="E14" s="1339"/>
      <c r="F14" s="319"/>
      <c r="G14" s="1381"/>
      <c r="H14" s="980" t="s">
        <v>398</v>
      </c>
      <c r="I14" s="302" t="s">
        <v>709</v>
      </c>
      <c r="J14" s="21">
        <f ca="1">C29</f>
        <v>0</v>
      </c>
      <c r="K14" s="12"/>
      <c r="L14" s="805"/>
      <c r="M14" s="806"/>
    </row>
    <row r="15" spans="1:37" s="1394" customFormat="1" ht="18" customHeight="1" thickBot="1">
      <c r="A15" s="980" t="s">
        <v>399</v>
      </c>
      <c r="B15" s="302" t="s">
        <v>710</v>
      </c>
      <c r="C15" s="21">
        <f ca="1">ROUND(C14*F15,0)</f>
        <v>0</v>
      </c>
      <c r="D15" s="320" t="s">
        <v>711</v>
      </c>
      <c r="E15" s="320" t="s">
        <v>712</v>
      </c>
      <c r="F15" s="321">
        <f>'数据-取费表'!B33</f>
        <v>0.05</v>
      </c>
      <c r="G15" s="1393"/>
      <c r="H15" s="1087" t="s">
        <v>402</v>
      </c>
      <c r="I15" s="1088" t="s">
        <v>706</v>
      </c>
      <c r="J15" s="1097">
        <f ca="1">INDIRECT("'数据-取费表'!ad"&amp;$G$1)</f>
        <v>0</v>
      </c>
      <c r="K15" s="1098"/>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7" t="s">
        <v>393</v>
      </c>
      <c r="I16" s="1078" t="s">
        <v>714</v>
      </c>
      <c r="J16" s="310">
        <f ca="1">ROUND(J17+J22+J23+J24,0)</f>
        <v>0</v>
      </c>
      <c r="K16" s="1085" t="s">
        <v>715</v>
      </c>
      <c r="L16" s="1086"/>
      <c r="M16" s="1070"/>
    </row>
    <row r="17" spans="1:37" s="1394" customFormat="1" ht="18" customHeight="1">
      <c r="A17" s="980" t="s">
        <v>681</v>
      </c>
      <c r="B17" s="302" t="s">
        <v>716</v>
      </c>
      <c r="C17" s="21">
        <f ca="1">ROUND(F17*(F43+INDIRECT("'数据-取费表'!S"&amp;$G$1)),0)</f>
        <v>0</v>
      </c>
      <c r="D17" s="302" t="s">
        <v>717</v>
      </c>
      <c r="E17" s="302" t="s">
        <v>718</v>
      </c>
      <c r="F17" s="23">
        <f>'数据-取费表'!B35</f>
        <v>180</v>
      </c>
      <c r="G17" s="1393"/>
      <c r="H17" s="980" t="s">
        <v>398</v>
      </c>
      <c r="I17" s="302" t="s">
        <v>719</v>
      </c>
      <c r="J17" s="2310">
        <f ca="1">ROUND(IF(AND(项目基本情况!B11="自然人",项目基本情况!B10="北京市"),J6*M17/(1+'数据-取费表'!C42),J18+J19+J20),0)</f>
        <v>0</v>
      </c>
      <c r="K17" s="1342" t="s">
        <v>720</v>
      </c>
      <c r="L17" s="1341" t="s">
        <v>721</v>
      </c>
      <c r="M17" s="2309"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0</v>
      </c>
      <c r="D18" s="302" t="s">
        <v>711</v>
      </c>
      <c r="E18" s="302" t="s">
        <v>712</v>
      </c>
      <c r="F18" s="322">
        <f>'数据-取费表'!B36</f>
        <v>0.02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0</v>
      </c>
      <c r="D19" s="131" t="s">
        <v>726</v>
      </c>
      <c r="E19" s="1357"/>
      <c r="F19" s="23"/>
      <c r="G19" s="1381"/>
      <c r="H19" s="980" t="s">
        <v>399</v>
      </c>
      <c r="I19" s="302" t="s">
        <v>727</v>
      </c>
      <c r="J19" s="21">
        <f ca="1">IF(K19="按租金收入计税",ROUND(J6*M19/(1+'数据-取费表'!C42),0),ROUND(C29*M19*0.7,0))</f>
        <v>0</v>
      </c>
      <c r="K19" s="1367" t="s">
        <v>3329</v>
      </c>
      <c r="L19" s="302" t="s">
        <v>712</v>
      </c>
      <c r="M19" s="322">
        <f>IF(K19="按租金收入计税",'数据-取费表'!B51,'数据-取费表'!B50)</f>
        <v>0.12</v>
      </c>
    </row>
    <row r="20" spans="1:37" s="1394" customFormat="1" ht="18" customHeight="1">
      <c r="A20" s="980" t="s">
        <v>402</v>
      </c>
      <c r="B20" s="302" t="s">
        <v>728</v>
      </c>
      <c r="C20" s="21">
        <f ca="1">ROUND(C19*F20,0)</f>
        <v>0</v>
      </c>
      <c r="D20" s="323" t="s">
        <v>729</v>
      </c>
      <c r="E20" s="302" t="s">
        <v>712</v>
      </c>
      <c r="F20" s="322">
        <f>'数据-取费表'!B37</f>
        <v>0.03</v>
      </c>
      <c r="G20" s="1393"/>
      <c r="H20" s="980" t="s">
        <v>680</v>
      </c>
      <c r="I20" s="155" t="s">
        <v>730</v>
      </c>
      <c r="J20" s="22">
        <f ca="1">ROUND(M20*M21,0)</f>
        <v>0</v>
      </c>
      <c r="K20" s="324" t="s">
        <v>731</v>
      </c>
      <c r="L20" s="302" t="s">
        <v>732</v>
      </c>
      <c r="M20" s="325">
        <f>'数据-取费表'!B52</f>
        <v>1.5</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0.03</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0</v>
      </c>
      <c r="K22" s="1341" t="s">
        <v>739</v>
      </c>
      <c r="L22" s="302" t="s">
        <v>712</v>
      </c>
      <c r="M22" s="328">
        <f ca="1">INDIRECT("'数据-取费表'!Ak"&amp;$G$1)</f>
        <v>0</v>
      </c>
    </row>
    <row r="23" spans="1:37" s="1394"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3"/>
      <c r="H23" s="980" t="s">
        <v>437</v>
      </c>
      <c r="I23" s="302" t="s">
        <v>742</v>
      </c>
      <c r="J23" s="21">
        <f ca="1">ROUND(J13*M23,0)</f>
        <v>0</v>
      </c>
      <c r="K23" s="1341" t="s">
        <v>743</v>
      </c>
      <c r="L23" s="302" t="s">
        <v>744</v>
      </c>
      <c r="M23" s="330">
        <f ca="1">INDIRECT("'数据-取费表'!Al"&amp;$G$1)</f>
        <v>0</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1.5E-3</v>
      </c>
      <c r="D24" s="329" t="str">
        <f>IF(F23&lt;=1,"销售费用×利率×(建设周期÷2)","销售费用×((1+利率)^(建设周期÷2)-1)")</f>
        <v>销售费用×((1+利率)^(建设周期÷2)-1)</v>
      </c>
      <c r="E24" s="302" t="s">
        <v>747</v>
      </c>
      <c r="F24" s="331">
        <f ca="1">'数据-取费表'!B40</f>
        <v>3.3500000000000002E-2</v>
      </c>
      <c r="G24" s="1393"/>
      <c r="H24" s="1087" t="s">
        <v>684</v>
      </c>
      <c r="I24" s="1088" t="s">
        <v>728</v>
      </c>
      <c r="J24" s="1089">
        <f ca="1">ROUND(J5*M24,0)</f>
        <v>0</v>
      </c>
      <c r="K24" s="1090" t="s">
        <v>748</v>
      </c>
      <c r="L24" s="1088" t="s">
        <v>744</v>
      </c>
      <c r="M24" s="1084">
        <f ca="1">INDIRECT("'数据-取费表'!Am"&amp;$G$1)</f>
        <v>0</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7" t="s">
        <v>394</v>
      </c>
      <c r="I25" s="1092" t="s">
        <v>752</v>
      </c>
      <c r="J25" s="310">
        <f ca="1">J5-J16</f>
        <v>0</v>
      </c>
      <c r="K25" s="1093" t="s">
        <v>753</v>
      </c>
      <c r="L25" s="1094"/>
      <c r="M25" s="1095"/>
    </row>
    <row r="26" spans="1:37" ht="18" customHeight="1">
      <c r="A26" s="980" t="s">
        <v>397</v>
      </c>
      <c r="B26" s="302" t="s">
        <v>754</v>
      </c>
      <c r="C26" s="21">
        <f ca="1">ROUND((C19+C20)*F26,0)</f>
        <v>0</v>
      </c>
      <c r="D26" s="323" t="s">
        <v>755</v>
      </c>
      <c r="E26" s="313" t="s">
        <v>756</v>
      </c>
      <c r="F26" s="312">
        <f ca="1">INDIRECT("'数据-取费表'!q"&amp;$G$1)</f>
        <v>0</v>
      </c>
      <c r="G26" s="1381"/>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7" t="s">
        <v>401</v>
      </c>
      <c r="B29" s="1088" t="s">
        <v>767</v>
      </c>
      <c r="C29" s="1089">
        <f ca="1">ROUND((C19+C20+C23+C26)/(1-F21-C24-C27-C28),0)</f>
        <v>0</v>
      </c>
      <c r="D29" s="1090"/>
      <c r="E29" s="1088"/>
      <c r="F29" s="1091"/>
      <c r="G29" s="1393"/>
      <c r="H29" s="334" t="s">
        <v>396</v>
      </c>
      <c r="I29" s="335" t="s">
        <v>768</v>
      </c>
      <c r="J29" s="336">
        <f ca="1">ROUND(J26/(1+F40)^F41,0)</f>
        <v>0</v>
      </c>
      <c r="K29" s="337" t="s">
        <v>769</v>
      </c>
      <c r="L29" s="338"/>
      <c r="M29" s="339">
        <f ca="1">INDIRECT("'数据-取费表'!k"&amp;$G$1)</f>
        <v>0</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7" t="s">
        <v>393</v>
      </c>
      <c r="B30" s="1078" t="s">
        <v>714</v>
      </c>
      <c r="C30" s="310">
        <f ca="1">ROUND(C31+C36+C37+C38,0)</f>
        <v>0</v>
      </c>
      <c r="D30" s="1085" t="s">
        <v>715</v>
      </c>
      <c r="E30" s="1086"/>
      <c r="F30" s="1070"/>
      <c r="G30" s="1381"/>
      <c r="H30" s="2688"/>
      <c r="I30" s="1395"/>
      <c r="J30" s="1396"/>
      <c r="K30" s="2466"/>
      <c r="L30" s="2689"/>
      <c r="M30" s="2690"/>
    </row>
    <row r="31" spans="1:37" ht="18" customHeight="1">
      <c r="A31" s="980" t="s">
        <v>398</v>
      </c>
      <c r="B31" s="302" t="s">
        <v>719</v>
      </c>
      <c r="C31" s="2310">
        <f ca="1">ROUND(IF(AND(项目基本情况!B11="自然人",项目基本情况!B10="北京市"),C6*F31/(1+'数据-取费表'!C42),C32+C33+C34),0)</f>
        <v>0</v>
      </c>
      <c r="D31" s="1342" t="s">
        <v>720</v>
      </c>
      <c r="E31" s="1341" t="s">
        <v>770</v>
      </c>
      <c r="F31" s="2309" t="str">
        <f>IF(项目基本情况!B11="企业","——",IF(M47="住宅",IF(F6*F7*F8/12/(1+'数据-取费表'!F30)&gt;100000,4%,2.5%),IF(F6*F7*F8/12/(1+'数据-取费表'!F30)&gt;100000,12%,7%)))</f>
        <v>——</v>
      </c>
      <c r="G31" s="1381"/>
      <c r="H31" s="2799" t="s">
        <v>2299</v>
      </c>
      <c r="I31" s="1395"/>
      <c r="J31" s="1396"/>
      <c r="K31" s="2466"/>
      <c r="L31" s="2689"/>
      <c r="M31" s="2690"/>
    </row>
    <row r="32" spans="1:37" ht="18" customHeight="1">
      <c r="A32" s="980" t="s">
        <v>397</v>
      </c>
      <c r="B32" s="302" t="s">
        <v>723</v>
      </c>
      <c r="C32" s="21">
        <f ca="1">IF(项目基本情况!B11="自然人","——",ROUND(C6*F32/(1+'数据-取费表'!C42),0))</f>
        <v>0</v>
      </c>
      <c r="D32" s="1341" t="s">
        <v>724</v>
      </c>
      <c r="E32" s="302" t="s">
        <v>712</v>
      </c>
      <c r="F32" s="331">
        <f>'数据-取费表'!B41</f>
        <v>5.6000000000000001E-2</v>
      </c>
      <c r="G32" s="1381"/>
      <c r="H32" s="2688"/>
      <c r="I32" s="1395"/>
      <c r="J32" s="1396"/>
      <c r="K32" s="2466"/>
      <c r="L32" s="2689"/>
      <c r="M32" s="2690"/>
    </row>
    <row r="33" spans="1:18" ht="18" customHeight="1">
      <c r="A33" s="980" t="s">
        <v>399</v>
      </c>
      <c r="B33" s="302" t="s">
        <v>727</v>
      </c>
      <c r="C33" s="21">
        <f ca="1">IF(项目基本情况!B11="自然人","——",IF(D33="按租金收入计税",ROUND(C6*F33/(1+'数据-取费表'!C42),0),IF(D33="按房产原值计税",ROUND(C29*F33*0.7,0),INDIRECT("'数据-取费表'!Aj"&amp;$G$1))))</f>
        <v>0</v>
      </c>
      <c r="D33" s="1367" t="s">
        <v>3329</v>
      </c>
      <c r="E33" s="302" t="s">
        <v>712</v>
      </c>
      <c r="F33" s="322">
        <f>IF(D33="按票据","——",IF(D33="按租金收入计税",'数据-取费表'!B51,'数据-取费表'!B50))</f>
        <v>0.12</v>
      </c>
      <c r="G33" s="1381"/>
      <c r="H33" s="2691"/>
      <c r="I33" s="1395"/>
      <c r="J33" s="1396"/>
      <c r="K33" s="2692"/>
      <c r="L33" s="2691"/>
      <c r="M33" s="2691"/>
    </row>
    <row r="34" spans="1:18" ht="18" customHeight="1">
      <c r="A34" s="1067" t="s">
        <v>680</v>
      </c>
      <c r="B34" s="155" t="s">
        <v>730</v>
      </c>
      <c r="C34" s="22">
        <f ca="1">IF(项目基本情况!B11="自然人","——",ROUND(F34*F35,0))</f>
        <v>0</v>
      </c>
      <c r="D34" s="324" t="s">
        <v>731</v>
      </c>
      <c r="E34" s="302" t="s">
        <v>732</v>
      </c>
      <c r="F34" s="325">
        <f>'数据-取费表'!B52</f>
        <v>1.5</v>
      </c>
      <c r="G34" s="1381"/>
      <c r="H34" s="2688"/>
      <c r="I34" s="1395"/>
      <c r="J34" s="1396"/>
      <c r="K34" s="2693"/>
      <c r="L34" s="2694"/>
      <c r="M34" s="2694"/>
    </row>
    <row r="35" spans="1:18" ht="18" customHeight="1">
      <c r="A35" s="1101"/>
      <c r="B35" s="1099"/>
      <c r="C35" s="26"/>
      <c r="D35" s="327"/>
      <c r="E35" s="302" t="s">
        <v>736</v>
      </c>
      <c r="F35" s="303">
        <f ca="1">INDIRECT("'数据-取费表'!r"&amp;$G$1)</f>
        <v>0</v>
      </c>
      <c r="G35" s="1381"/>
      <c r="H35" s="2688"/>
      <c r="I35" s="1395"/>
      <c r="J35" s="1396"/>
      <c r="K35" s="2692"/>
      <c r="L35" s="2691"/>
      <c r="M35" s="2691"/>
    </row>
    <row r="36" spans="1:18" ht="18" customHeight="1">
      <c r="A36" s="1100" t="s">
        <v>402</v>
      </c>
      <c r="B36" s="302" t="s">
        <v>738</v>
      </c>
      <c r="C36" s="21">
        <f ca="1">ROUND(C29*F36,0)</f>
        <v>0</v>
      </c>
      <c r="D36" s="1341" t="s">
        <v>771</v>
      </c>
      <c r="E36" s="302" t="s">
        <v>712</v>
      </c>
      <c r="F36" s="328">
        <f ca="1">INDIRECT("'数据-取费表'!Ak"&amp;$G$1)</f>
        <v>0</v>
      </c>
      <c r="G36" s="1381"/>
      <c r="H36" s="2691"/>
      <c r="I36" s="1395"/>
      <c r="J36" s="1396"/>
      <c r="K36" s="2535"/>
      <c r="L36" s="2691"/>
      <c r="M36" s="2691"/>
    </row>
    <row r="37" spans="1:18" ht="18" customHeight="1">
      <c r="A37" s="980" t="s">
        <v>437</v>
      </c>
      <c r="B37" s="302" t="s">
        <v>742</v>
      </c>
      <c r="C37" s="21">
        <f ca="1">ROUND(C13*F37,0)</f>
        <v>0</v>
      </c>
      <c r="D37" s="1341" t="s">
        <v>743</v>
      </c>
      <c r="E37" s="302" t="s">
        <v>744</v>
      </c>
      <c r="F37" s="330">
        <f ca="1">INDIRECT("'数据-取费表'!Al"&amp;$G$1)</f>
        <v>0</v>
      </c>
      <c r="G37" s="1381"/>
      <c r="H37" s="2691"/>
      <c r="I37" s="1395"/>
      <c r="J37" s="1396"/>
      <c r="K37" s="2535"/>
      <c r="L37" s="2691"/>
      <c r="M37" s="2691"/>
    </row>
    <row r="38" spans="1:18" ht="18" customHeight="1" thickBot="1">
      <c r="A38" s="1087" t="s">
        <v>684</v>
      </c>
      <c r="B38" s="1088" t="s">
        <v>728</v>
      </c>
      <c r="C38" s="1089">
        <f ca="1">ROUND(C5*F38,0)</f>
        <v>0</v>
      </c>
      <c r="D38" s="1090" t="s">
        <v>748</v>
      </c>
      <c r="E38" s="1088" t="s">
        <v>744</v>
      </c>
      <c r="F38" s="1084">
        <f ca="1">INDIRECT("'数据-取费表'!Am"&amp;$G$1)</f>
        <v>0</v>
      </c>
      <c r="G38" s="1381"/>
      <c r="H38" s="2691"/>
      <c r="I38" s="1395"/>
      <c r="J38" s="1396"/>
      <c r="K38" s="2695"/>
      <c r="L38" s="2691"/>
      <c r="M38" s="2691"/>
    </row>
    <row r="39" spans="1:18" ht="24.6" customHeight="1" thickTop="1">
      <c r="A39" s="1077" t="s">
        <v>394</v>
      </c>
      <c r="B39" s="1092" t="s">
        <v>772</v>
      </c>
      <c r="C39" s="310">
        <f ca="1">C5-C30</f>
        <v>0</v>
      </c>
      <c r="D39" s="1093" t="s">
        <v>773</v>
      </c>
      <c r="E39" s="1094"/>
      <c r="F39" s="1095"/>
      <c r="G39" s="1381"/>
      <c r="H39" s="2691"/>
      <c r="I39" s="1395"/>
      <c r="J39" s="1396"/>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1"/>
      <c r="H40" s="1458"/>
      <c r="I40" s="1395"/>
      <c r="J40" s="1396"/>
      <c r="K40" s="2695"/>
      <c r="L40" s="1458"/>
      <c r="M40" s="1458"/>
    </row>
    <row r="41" spans="1:18" ht="18" customHeight="1">
      <c r="A41" s="304"/>
      <c r="B41" s="305"/>
      <c r="C41" s="306"/>
      <c r="D41" s="332" t="s">
        <v>775</v>
      </c>
      <c r="E41" s="302" t="s">
        <v>763</v>
      </c>
      <c r="F41" s="333">
        <f ca="1">IF(INDIRECT("'数据-取费表'!af"&amp;$G$1)=0,INDIRECT("'数据-取费表'!ae"&amp;$G$1),INDIRECT("'数据-取费表'!af"&amp;$G$1))</f>
        <v>0</v>
      </c>
      <c r="G41" s="1381"/>
      <c r="H41" s="1188"/>
      <c r="I41" s="1395"/>
      <c r="J41" s="1396"/>
      <c r="K41" s="2535"/>
      <c r="L41" s="1188"/>
      <c r="M41" s="1188"/>
    </row>
    <row r="42" spans="1:18" ht="18" customHeight="1">
      <c r="A42" s="308"/>
      <c r="B42" s="309"/>
      <c r="C42" s="310"/>
      <c r="D42" s="327"/>
      <c r="E42" s="302" t="s">
        <v>766</v>
      </c>
      <c r="F42" s="312">
        <f ca="1">INDIRECT("'数据-取费表'!v"&amp;$G$1)</f>
        <v>0</v>
      </c>
      <c r="G42" s="1381"/>
      <c r="H42" s="1188"/>
      <c r="I42" s="1395"/>
      <c r="J42" s="1396"/>
      <c r="K42" s="2535"/>
      <c r="L42" s="1188"/>
      <c r="M42" s="1188"/>
    </row>
    <row r="43" spans="1:18" ht="18" customHeight="1" thickBot="1">
      <c r="A43" s="334" t="s">
        <v>396</v>
      </c>
      <c r="B43" s="335" t="s">
        <v>776</v>
      </c>
      <c r="C43" s="336" t="e">
        <f ca="1">ROUND(C40/F43,0)</f>
        <v>#DIV/0!</v>
      </c>
      <c r="D43" s="337" t="s">
        <v>777</v>
      </c>
      <c r="E43" s="338" t="s">
        <v>778</v>
      </c>
      <c r="F43" s="339">
        <f ca="1">INDIRECT("'数据-取费表'!k"&amp;$G$1)</f>
        <v>0</v>
      </c>
      <c r="G43" s="1381"/>
      <c r="H43" s="1188"/>
      <c r="I43" s="1188"/>
      <c r="J43" s="1188"/>
      <c r="K43" s="2535"/>
      <c r="L43" s="1188"/>
      <c r="M43" s="1188"/>
    </row>
    <row r="44" spans="1:18" s="1381" customFormat="1" ht="18" customHeight="1">
      <c r="A44" s="1397"/>
      <c r="B44" s="1397"/>
      <c r="C44" s="1398"/>
      <c r="D44" s="1397"/>
      <c r="E44" s="1397"/>
      <c r="F44" s="1397"/>
      <c r="K44" s="1399"/>
    </row>
    <row r="45" spans="1:18" s="1381" customFormat="1" ht="18" customHeight="1" thickBot="1">
      <c r="A45" s="3422" t="s">
        <v>3345</v>
      </c>
      <c r="B45" s="1397"/>
      <c r="C45" s="1469" t="e">
        <f ca="1">ROUND((C68-C40)/10000,4)</f>
        <v>#DIV/0!</v>
      </c>
      <c r="D45" s="3423" t="s">
        <v>3346</v>
      </c>
      <c r="E45" s="1397"/>
      <c r="F45" s="1397"/>
      <c r="O45" s="1400" t="s">
        <v>808</v>
      </c>
      <c r="P45" s="1458"/>
      <c r="Q45" s="1458"/>
      <c r="R45" s="1458"/>
    </row>
    <row r="46" spans="1:18" s="1381" customFormat="1" ht="13.5" thickBot="1">
      <c r="A46" s="1401" t="s">
        <v>809</v>
      </c>
      <c r="C46" s="1402" t="e">
        <f ca="1">ROUND(C45,0)</f>
        <v>#DIV/0!</v>
      </c>
      <c r="D46" s="1403" t="str">
        <f>C2</f>
        <v>万元</v>
      </c>
      <c r="I46" s="1404" t="s">
        <v>810</v>
      </c>
      <c r="J46" s="1405"/>
      <c r="K46" s="1406"/>
      <c r="L46" s="1407" t="e">
        <f ca="1">IF(M47="住宅",0,IF(L48&gt;J51,L60,J60))</f>
        <v>#DIV/0!</v>
      </c>
      <c r="O46" s="1408" t="s">
        <v>811</v>
      </c>
      <c r="P46" s="1409" t="s">
        <v>812</v>
      </c>
      <c r="Q46" s="1410" t="s">
        <v>813</v>
      </c>
      <c r="R46" s="1410" t="s">
        <v>814</v>
      </c>
    </row>
    <row r="47" spans="1:18" s="1381" customFormat="1" ht="13.5" thickBot="1">
      <c r="A47" s="944" t="s">
        <v>687</v>
      </c>
      <c r="B47" s="976" t="s">
        <v>688</v>
      </c>
      <c r="C47" s="976" t="s">
        <v>689</v>
      </c>
      <c r="D47" s="976" t="s">
        <v>690</v>
      </c>
      <c r="E47" s="1056" t="s">
        <v>691</v>
      </c>
      <c r="F47" s="1057"/>
      <c r="G47" s="720"/>
      <c r="I47" s="1411" t="s">
        <v>815</v>
      </c>
      <c r="J47" s="1412"/>
      <c r="K47" s="1413" t="s">
        <v>816</v>
      </c>
      <c r="L47" s="1414">
        <f ca="1">INDIRECT("'数据-取费表'!d"&amp;$G$1)</f>
        <v>0</v>
      </c>
      <c r="M47" s="1377" t="str">
        <f>IF(ISNUMBER(FIND("住宅",C1)),"住宅","非住宅")</f>
        <v>非住宅</v>
      </c>
      <c r="O47" s="1415" t="s">
        <v>403</v>
      </c>
      <c r="P47" s="1416" t="s">
        <v>817</v>
      </c>
      <c r="Q47" s="1417" t="e">
        <f ca="1">C40+J29</f>
        <v>#DIV/0!</v>
      </c>
      <c r="R47" s="1417" t="s">
        <v>818</v>
      </c>
    </row>
    <row r="48" spans="1:18" s="1381" customFormat="1" ht="28.5" thickBot="1">
      <c r="A48" s="1108" t="s">
        <v>438</v>
      </c>
      <c r="B48" s="300" t="s">
        <v>692</v>
      </c>
      <c r="C48" s="1356">
        <f ca="1">C49+C53+C55</f>
        <v>0</v>
      </c>
      <c r="D48" s="1110"/>
      <c r="E48" s="1111"/>
      <c r="F48" s="960"/>
      <c r="G48" s="720"/>
      <c r="H48" s="721"/>
      <c r="I48" s="1418" t="s">
        <v>819</v>
      </c>
      <c r="J48" s="1419"/>
      <c r="K48" s="1420" t="s">
        <v>820</v>
      </c>
      <c r="L48" s="1421">
        <f ca="1">INDIRECT("'数据-取费表'!f"&amp;$G$1)</f>
        <v>0</v>
      </c>
      <c r="O48" s="1415" t="s">
        <v>404</v>
      </c>
      <c r="P48" s="1416" t="s">
        <v>821</v>
      </c>
      <c r="Q48" s="1417" t="e">
        <f ca="1">J60</f>
        <v>#DIV/0!</v>
      </c>
      <c r="R48" s="1417" t="s">
        <v>822</v>
      </c>
    </row>
    <row r="49" spans="1:18" s="1381" customFormat="1" ht="13.5" thickBot="1">
      <c r="A49" s="973" t="s">
        <v>439</v>
      </c>
      <c r="B49" s="1368" t="s">
        <v>779</v>
      </c>
      <c r="C49" s="1112">
        <f ca="1">ROUND(F49*F51*F50*(1-F52),0)</f>
        <v>0</v>
      </c>
      <c r="D49" s="1053" t="s">
        <v>695</v>
      </c>
      <c r="E49" s="1369" t="s">
        <v>780</v>
      </c>
      <c r="F49" s="1058"/>
      <c r="G49" s="1422"/>
      <c r="H49" s="721"/>
      <c r="I49" s="1418" t="s">
        <v>823</v>
      </c>
      <c r="J49" s="1423"/>
      <c r="K49" s="1420" t="s">
        <v>824</v>
      </c>
      <c r="L49" s="1424"/>
      <c r="O49" s="1425" t="s">
        <v>405</v>
      </c>
      <c r="P49" s="1416" t="s">
        <v>825</v>
      </c>
      <c r="Q49" s="1417">
        <f ca="1">C29</f>
        <v>0</v>
      </c>
      <c r="R49" s="1417" t="s">
        <v>818</v>
      </c>
    </row>
    <row r="50" spans="1:18" s="1381" customFormat="1" ht="13.5" thickBot="1">
      <c r="A50" s="974"/>
      <c r="B50" s="977"/>
      <c r="C50" s="978"/>
      <c r="D50" s="951"/>
      <c r="E50" s="1054" t="s">
        <v>697</v>
      </c>
      <c r="F50" s="1055">
        <f ca="1">F7</f>
        <v>0</v>
      </c>
      <c r="H50" s="721"/>
      <c r="I50" s="1418" t="s">
        <v>826</v>
      </c>
      <c r="J50" s="1426">
        <f>SUMPRODUCT((I63:I65=J47)*(J62:L62=J48)*(J63:L65))</f>
        <v>0</v>
      </c>
      <c r="K50" s="1420" t="s">
        <v>827</v>
      </c>
      <c r="L50" s="1424"/>
      <c r="M50" s="1427"/>
      <c r="O50" s="1425" t="s">
        <v>406</v>
      </c>
      <c r="P50" s="1416" t="s">
        <v>828</v>
      </c>
      <c r="Q50" s="1428" t="e">
        <f ca="1">J58</f>
        <v>#DIV/0!</v>
      </c>
      <c r="R50" s="1417"/>
    </row>
    <row r="51" spans="1:18" s="1381" customFormat="1" ht="13.5" thickBot="1">
      <c r="A51" s="975"/>
      <c r="B51" s="977"/>
      <c r="C51" s="978"/>
      <c r="D51" s="951"/>
      <c r="E51" s="979" t="s">
        <v>698</v>
      </c>
      <c r="F51" s="303">
        <f ca="1">F8</f>
        <v>0</v>
      </c>
      <c r="I51" s="1429" t="s">
        <v>829</v>
      </c>
      <c r="J51" s="1430">
        <f>IF(J49="",J50,J49+J50-YEAR('数据-取费表'!B2))</f>
        <v>0</v>
      </c>
      <c r="K51" s="1431" t="s">
        <v>830</v>
      </c>
      <c r="L51" s="1432">
        <f ca="1">ROUND(-PV(INDIRECT("'数据-取费表'!h"&amp;$G$1),J51,(C39-C13*C76),0),0)</f>
        <v>0</v>
      </c>
      <c r="M51" s="1433"/>
      <c r="O51" s="1425" t="s">
        <v>407</v>
      </c>
      <c r="P51" s="1416" t="s">
        <v>831</v>
      </c>
      <c r="Q51" s="1428">
        <f>J52</f>
        <v>0</v>
      </c>
      <c r="R51" s="1417"/>
    </row>
    <row r="52" spans="1:18" s="1381" customFormat="1" ht="13.5" thickBot="1">
      <c r="A52" s="975"/>
      <c r="B52" s="977"/>
      <c r="C52" s="978"/>
      <c r="D52" s="951"/>
      <c r="E52" s="979" t="s">
        <v>699</v>
      </c>
      <c r="F52" s="1052"/>
      <c r="I52" s="1434" t="s">
        <v>832</v>
      </c>
      <c r="J52" s="1435"/>
      <c r="K52" s="1434" t="s">
        <v>833</v>
      </c>
      <c r="L52" s="1435"/>
      <c r="O52" s="1425" t="s">
        <v>408</v>
      </c>
      <c r="P52" s="1416" t="s">
        <v>834</v>
      </c>
      <c r="Q52" s="1417">
        <f ca="1">J53</f>
        <v>0</v>
      </c>
      <c r="R52" s="1417" t="s">
        <v>835</v>
      </c>
    </row>
    <row r="53" spans="1:18" s="1381" customFormat="1" ht="30.75" customHeight="1" thickBot="1">
      <c r="A53" s="1109" t="s">
        <v>440</v>
      </c>
      <c r="B53" s="323" t="s">
        <v>700</v>
      </c>
      <c r="C53" s="316">
        <f ca="1">ROUND(IF(F53="押一",C49/12*F11,IF(F53="押二",C49/12*2*F11,IF(F53="押三",C49/12*3*F11,C54*F11))),0)</f>
        <v>0</v>
      </c>
      <c r="D53" s="1363" t="s">
        <v>2117</v>
      </c>
      <c r="E53" s="313" t="s">
        <v>701</v>
      </c>
      <c r="F53" s="1114"/>
      <c r="I53" s="1436" t="s">
        <v>836</v>
      </c>
      <c r="J53" s="2162">
        <f ca="1">IF(M47="住宅",IF(D1="——",MAX(J51,L48),MAX(J51,L48-'数据-取费表'!B24)),IF(D1="——",MIN(J51,L48),MIN(J51,L48-'数据-取费表'!B24)))</f>
        <v>0</v>
      </c>
      <c r="K53" s="3701" t="s">
        <v>837</v>
      </c>
      <c r="L53" s="3702"/>
      <c r="O53" s="1415" t="s">
        <v>409</v>
      </c>
      <c r="P53" s="1416" t="s">
        <v>838</v>
      </c>
      <c r="Q53" s="1417" t="e">
        <f ca="1">Q47+Q48</f>
        <v>#DIV/0!</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9"/>
      <c r="K54" s="1439"/>
      <c r="L54" s="1439"/>
      <c r="M54" s="1422"/>
      <c r="O54" s="1400" t="s">
        <v>839</v>
      </c>
      <c r="P54" s="1378"/>
      <c r="Q54" s="1378"/>
      <c r="R54" s="1378"/>
    </row>
    <row r="55" spans="1:18" s="1381" customFormat="1" ht="13.5" thickBot="1">
      <c r="A55" s="1081" t="s">
        <v>437</v>
      </c>
      <c r="B55" s="1366" t="s">
        <v>703</v>
      </c>
      <c r="C55" s="1082"/>
      <c r="D55" s="1363"/>
      <c r="E55" s="1371"/>
      <c r="F55" s="1437"/>
      <c r="I55" s="1440" t="s">
        <v>840</v>
      </c>
      <c r="J55" s="1441" t="e">
        <f ca="1">ROUND(IF(J47="钢混",J57/J50,1-(1-2%)*(J50-J57)/J50),3)</f>
        <v>#DIV/0!</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0</v>
      </c>
      <c r="D56" s="1444"/>
      <c r="E56" s="1445"/>
      <c r="F56" s="1437"/>
      <c r="I56" s="1446" t="s">
        <v>842</v>
      </c>
      <c r="J56" s="1447"/>
      <c r="K56" s="1418" t="s">
        <v>843</v>
      </c>
      <c r="L56" s="1421">
        <f ca="1">IF(L48&lt;J51,"——",L48-J51)</f>
        <v>0</v>
      </c>
      <c r="O56" s="1415" t="s">
        <v>403</v>
      </c>
      <c r="P56" s="1416" t="s">
        <v>817</v>
      </c>
      <c r="Q56" s="1417" t="e">
        <f ca="1">C40+J29</f>
        <v>#DIV/0!</v>
      </c>
      <c r="R56" s="1417" t="s">
        <v>818</v>
      </c>
    </row>
    <row r="57" spans="1:18" s="1381" customFormat="1" ht="24.75" thickBot="1">
      <c r="A57" s="1448"/>
      <c r="B57" s="948" t="s">
        <v>767</v>
      </c>
      <c r="C57" s="238">
        <f ca="1">C29</f>
        <v>0</v>
      </c>
      <c r="D57" s="1449"/>
      <c r="E57" s="1450"/>
      <c r="F57" s="1451"/>
      <c r="I57" s="1452" t="s">
        <v>844</v>
      </c>
      <c r="J57" s="1453">
        <f ca="1">IF(OR(M47="住宅",J51&lt;L48,J56="是"),"——",J51-L48)</f>
        <v>0</v>
      </c>
      <c r="K57" s="1418" t="s">
        <v>892</v>
      </c>
      <c r="L57" s="1421">
        <f ca="1">IF(L48&lt;J51,"——",IF(L55="比较法",L49,IF(L55="基准地价",L50,L51)))</f>
        <v>0</v>
      </c>
      <c r="O57" s="1415" t="s">
        <v>404</v>
      </c>
      <c r="P57" s="1416" t="s">
        <v>893</v>
      </c>
      <c r="Q57" s="1417" t="e">
        <f ca="1">L60</f>
        <v>#DIV/0!</v>
      </c>
      <c r="R57" s="1417" t="s">
        <v>894</v>
      </c>
    </row>
    <row r="58" spans="1:18" s="1381" customFormat="1" ht="24.75" thickBot="1">
      <c r="A58" s="315" t="s">
        <v>393</v>
      </c>
      <c r="B58" s="956" t="s">
        <v>714</v>
      </c>
      <c r="C58" s="316">
        <f ca="1">ROUND(C59+C64+C65+C66,0)</f>
        <v>0</v>
      </c>
      <c r="D58" s="958" t="s">
        <v>715</v>
      </c>
      <c r="E58" s="959"/>
      <c r="F58" s="960"/>
      <c r="I58" s="1452" t="s">
        <v>848</v>
      </c>
      <c r="J58" s="1454" t="e">
        <f ca="1">IF(J55&lt;0.4,0.4,J55)</f>
        <v>#DIV/0!</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0">
        <f ca="1">ROUND(IF(AND(项目基本情况!B11="自然人",项目基本情况!B10="北京市"),C49*F59/(1+'数据-取费表'!C42),C60+C61+C62),0)</f>
        <v>0</v>
      </c>
      <c r="D59" s="961" t="s">
        <v>720</v>
      </c>
      <c r="E59" s="962" t="s">
        <v>721</v>
      </c>
      <c r="F59" s="2309" t="str">
        <f>IF(项目基本情况!B11="企业","——",IF('数据-取费表'!B10="住宅",IF(F49*F50*F51/12/(1+'数据-取费表'!F30)&gt;100000,4%,2.5%),IF(F49*F50*F51/12/(1+'数据-取费表'!F30)&gt;100000,12%,7%)))</f>
        <v>——</v>
      </c>
      <c r="I59" s="1452" t="s">
        <v>851</v>
      </c>
      <c r="J59" s="1453" t="e">
        <f ca="1">IF(OR(M47="住宅",J51&lt;L48,J56="是"),"——",ROUND(C29*J58,0))</f>
        <v>#DIV/0!</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5" t="s">
        <v>853</v>
      </c>
      <c r="J60" s="1456" t="e">
        <f ca="1">IF(OR(M47="住宅",J51&lt;L48,J56="是"),"0",ROUND(J59/(1+J52)^J53,0))</f>
        <v>#DIV/0!</v>
      </c>
      <c r="K60" s="1457" t="s">
        <v>854</v>
      </c>
      <c r="L60" s="1456" t="e">
        <f ca="1">IF(OR(M47="住宅",L48&lt;J51),0,ROUND(L57*(L58/L59-1),0))</f>
        <v>#DIV/0!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3329</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5">
        <f t="shared" si="0"/>
        <v>1.5</v>
      </c>
      <c r="I62" s="1459" t="s">
        <v>858</v>
      </c>
      <c r="J62" s="1460" t="s">
        <v>859</v>
      </c>
      <c r="K62" s="1460" t="s">
        <v>860</v>
      </c>
      <c r="L62" s="1460" t="s">
        <v>861</v>
      </c>
      <c r="M62" s="1461" t="s">
        <v>862</v>
      </c>
      <c r="O62" s="1415" t="s">
        <v>409</v>
      </c>
      <c r="P62" s="1416" t="s">
        <v>863</v>
      </c>
      <c r="Q62" s="1417" t="e">
        <f ca="1">Q56+Q57</f>
        <v>#DIV/0!</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0</v>
      </c>
      <c r="D64" s="962" t="s">
        <v>791</v>
      </c>
      <c r="E64" s="948" t="s">
        <v>783</v>
      </c>
      <c r="F64" s="328">
        <f t="shared" ca="1" si="0"/>
        <v>0</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0</v>
      </c>
      <c r="D65" s="962" t="s">
        <v>743</v>
      </c>
      <c r="E65" s="948" t="s">
        <v>744</v>
      </c>
      <c r="F65" s="330">
        <f t="shared" ca="1" si="0"/>
        <v>0</v>
      </c>
      <c r="I65" s="1459" t="s">
        <v>867</v>
      </c>
      <c r="J65" s="1460">
        <v>40</v>
      </c>
      <c r="K65" s="1460">
        <v>30</v>
      </c>
      <c r="L65" s="1460">
        <v>50</v>
      </c>
      <c r="M65" s="1462">
        <v>0.02</v>
      </c>
      <c r="O65" s="1415" t="s">
        <v>403</v>
      </c>
      <c r="P65" s="1416" t="s">
        <v>868</v>
      </c>
      <c r="Q65" s="1417" t="e">
        <f ca="1">C40+J29</f>
        <v>#DIV/0!</v>
      </c>
      <c r="R65" s="1417" t="s">
        <v>818</v>
      </c>
    </row>
    <row r="66" spans="1:18" s="1381" customFormat="1" ht="16.5" thickBot="1">
      <c r="A66" s="980" t="s">
        <v>793</v>
      </c>
      <c r="B66" s="948" t="s">
        <v>728</v>
      </c>
      <c r="C66" s="21">
        <f ca="1">ROUND(C48*F66,0)</f>
        <v>0</v>
      </c>
      <c r="D66" s="962" t="s">
        <v>794</v>
      </c>
      <c r="E66" s="948" t="s">
        <v>712</v>
      </c>
      <c r="F66" s="312">
        <f t="shared" ca="1" si="0"/>
        <v>0</v>
      </c>
      <c r="O66" s="1415" t="s">
        <v>404</v>
      </c>
      <c r="P66" s="1416" t="s">
        <v>846</v>
      </c>
      <c r="Q66" s="1417" t="e">
        <f ca="1">L60</f>
        <v>#DIV/0!</v>
      </c>
      <c r="R66" s="1417" t="s">
        <v>869</v>
      </c>
    </row>
    <row r="67" spans="1:18" s="1381" customFormat="1" ht="16.5" thickBot="1">
      <c r="A67" s="955" t="s">
        <v>394</v>
      </c>
      <c r="B67" s="965" t="s">
        <v>752</v>
      </c>
      <c r="C67" s="316">
        <f ca="1">C48-C58</f>
        <v>0</v>
      </c>
      <c r="D67" s="961" t="s">
        <v>753</v>
      </c>
      <c r="E67" s="966"/>
      <c r="F67" s="967"/>
      <c r="O67" s="1425" t="s">
        <v>405</v>
      </c>
      <c r="P67" s="1416" t="s">
        <v>850</v>
      </c>
      <c r="Q67" s="1463">
        <f ca="1">L51</f>
        <v>0</v>
      </c>
      <c r="R67" s="1417" t="s">
        <v>870</v>
      </c>
    </row>
    <row r="68" spans="1:18" s="1381" customFormat="1" ht="16.5" thickBot="1">
      <c r="A68" s="945" t="s">
        <v>395</v>
      </c>
      <c r="B68" s="946" t="s">
        <v>774</v>
      </c>
      <c r="C68" s="301" t="e">
        <f ca="1">ROUND(C67*(1-((1+F70)/(1+F68))^F69)/(F68-F70),0)</f>
        <v>#DIV/0!</v>
      </c>
      <c r="D68" s="963" t="s">
        <v>758</v>
      </c>
      <c r="E68" s="948" t="s">
        <v>759</v>
      </c>
      <c r="F68" s="312">
        <f ca="1">F40</f>
        <v>0</v>
      </c>
      <c r="O68" s="1425" t="s">
        <v>406</v>
      </c>
      <c r="P68" s="1464" t="s">
        <v>871</v>
      </c>
      <c r="Q68" s="1417">
        <f ca="1">ROUND(Q69-Q70*Q71,0)</f>
        <v>0</v>
      </c>
      <c r="R68" s="1417" t="s">
        <v>414</v>
      </c>
    </row>
    <row r="69" spans="1:18" s="1381" customFormat="1" ht="13.5" thickBot="1">
      <c r="A69" s="949"/>
      <c r="B69" s="950"/>
      <c r="C69" s="306"/>
      <c r="D69" s="968" t="s">
        <v>762</v>
      </c>
      <c r="E69" s="948" t="s">
        <v>763</v>
      </c>
      <c r="F69" s="333">
        <f ca="1">F41</f>
        <v>0</v>
      </c>
      <c r="O69" s="1425" t="s">
        <v>411</v>
      </c>
      <c r="P69" s="1464" t="s">
        <v>872</v>
      </c>
      <c r="Q69" s="1417">
        <f ca="1">C39</f>
        <v>0</v>
      </c>
      <c r="R69" s="1417" t="s">
        <v>818</v>
      </c>
    </row>
    <row r="70" spans="1:18" s="1381" customFormat="1" ht="13.5" thickBot="1">
      <c r="A70" s="952"/>
      <c r="B70" s="953"/>
      <c r="C70" s="310"/>
      <c r="D70" s="964"/>
      <c r="E70" s="948" t="s">
        <v>766</v>
      </c>
      <c r="F70" s="1052"/>
      <c r="O70" s="1425" t="s">
        <v>412</v>
      </c>
      <c r="P70" s="1464" t="s">
        <v>873</v>
      </c>
      <c r="Q70" s="1417">
        <f ca="1">C13</f>
        <v>0</v>
      </c>
      <c r="R70" s="1417" t="s">
        <v>818</v>
      </c>
    </row>
    <row r="71" spans="1:18" s="1381" customFormat="1" ht="13.5" thickBot="1">
      <c r="A71" s="969" t="s">
        <v>396</v>
      </c>
      <c r="B71" s="970" t="s">
        <v>776</v>
      </c>
      <c r="C71" s="336" t="e">
        <f ca="1">ROUND(C68/F71,0)</f>
        <v>#DIV/0!</v>
      </c>
      <c r="D71" s="971" t="s">
        <v>777</v>
      </c>
      <c r="E71" s="972" t="s">
        <v>778</v>
      </c>
      <c r="F71" s="339">
        <f ca="1">F43</f>
        <v>0</v>
      </c>
      <c r="O71" s="1425" t="s">
        <v>413</v>
      </c>
      <c r="P71" s="1464" t="s">
        <v>874</v>
      </c>
      <c r="Q71" s="1428">
        <f ca="1">C76</f>
        <v>0</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0</v>
      </c>
      <c r="D75" s="1381"/>
      <c r="E75" s="1381"/>
      <c r="F75" s="1381"/>
      <c r="K75" s="1399"/>
      <c r="L75" s="1381"/>
      <c r="O75" s="1415" t="s">
        <v>409</v>
      </c>
      <c r="P75" s="1416" t="s">
        <v>838</v>
      </c>
      <c r="Q75" s="1417" t="e">
        <f ca="1">Q65+Q66</f>
        <v>#DIV/0!</v>
      </c>
      <c r="R75" s="1417" t="s">
        <v>410</v>
      </c>
    </row>
    <row r="76" spans="1:18">
      <c r="B76" s="342" t="s">
        <v>796</v>
      </c>
      <c r="C76" s="343">
        <f ca="1">INDIRECT("'数据-取费表'!j"&amp;$G$1)</f>
        <v>0</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2428</v>
      </c>
      <c r="B1" s="2823"/>
      <c r="C1" s="2835"/>
      <c r="D1" s="2835"/>
      <c r="E1" s="2824"/>
      <c r="F1" s="2825"/>
      <c r="G1" s="2826"/>
      <c r="J1" s="2829" t="s">
        <v>2307</v>
      </c>
      <c r="K1" s="2830"/>
      <c r="L1" s="2830"/>
      <c r="M1" s="2830"/>
      <c r="N1" s="2830"/>
      <c r="O1" s="2830"/>
      <c r="P1" s="2830"/>
      <c r="Q1" s="2830"/>
      <c r="R1" s="2831"/>
      <c r="S1" s="2832"/>
      <c r="T1" s="2832"/>
      <c r="U1" s="2832"/>
    </row>
    <row r="2" spans="1:22" s="2844" customFormat="1" ht="13.15" customHeight="1">
      <c r="A2" s="1382" t="s">
        <v>2308</v>
      </c>
      <c r="B2" s="2834" t="e">
        <f>IF(D2="——",C40,C40+E2)</f>
        <v>#DIV/0!</v>
      </c>
      <c r="C2" s="2835" t="s">
        <v>2309</v>
      </c>
      <c r="D2" s="3434" t="s">
        <v>3351</v>
      </c>
      <c r="E2" s="3435"/>
      <c r="F2" s="2837"/>
      <c r="G2" s="2838"/>
      <c r="H2" s="2839"/>
      <c r="I2" s="2840"/>
      <c r="J2" s="3712" t="s">
        <v>2310</v>
      </c>
      <c r="K2" s="3713"/>
      <c r="L2" s="2841" t="s">
        <v>2311</v>
      </c>
      <c r="M2" s="2841" t="s">
        <v>2312</v>
      </c>
      <c r="N2" s="2841" t="s">
        <v>2313</v>
      </c>
      <c r="O2" s="2841" t="s">
        <v>2314</v>
      </c>
      <c r="P2" s="2841" t="s">
        <v>2315</v>
      </c>
      <c r="Q2" s="2842" t="s">
        <v>2316</v>
      </c>
      <c r="R2" s="2843" t="s">
        <v>2317</v>
      </c>
      <c r="S2" s="2832"/>
      <c r="T2" s="2832"/>
      <c r="U2" s="2832"/>
      <c r="V2" s="2840"/>
    </row>
    <row r="3" spans="1:22" s="2844" customFormat="1" ht="13.15" customHeight="1">
      <c r="A3" s="2845" t="s">
        <v>2318</v>
      </c>
      <c r="B3" s="2846" t="e">
        <f>ROUND(B2*10000/B4,0)</f>
        <v>#DIV/0!</v>
      </c>
      <c r="C3" s="2835" t="s">
        <v>2319</v>
      </c>
      <c r="D3" s="2835"/>
      <c r="E3" s="2836"/>
      <c r="F3" s="2837"/>
      <c r="G3" s="2838"/>
      <c r="H3" s="2839"/>
      <c r="I3" s="2840"/>
      <c r="J3" s="3714" t="s">
        <v>2320</v>
      </c>
      <c r="K3" s="3715"/>
      <c r="L3" s="2847"/>
      <c r="M3" s="2847"/>
      <c r="N3" s="2847"/>
      <c r="O3" s="2847"/>
      <c r="P3" s="2847"/>
      <c r="Q3" s="2848"/>
      <c r="R3" s="2849">
        <f>SUM(L3:Q3)</f>
        <v>0</v>
      </c>
      <c r="S3" s="2832"/>
      <c r="T3" s="2832"/>
      <c r="U3" s="2832"/>
      <c r="V3" s="2840"/>
    </row>
    <row r="4" spans="1:22" s="2844" customFormat="1" ht="13.15" customHeight="1">
      <c r="A4" s="2850" t="s">
        <v>2321</v>
      </c>
      <c r="B4" s="2851"/>
      <c r="C4" s="2835"/>
      <c r="D4" s="2835"/>
      <c r="E4" s="2836"/>
      <c r="F4" s="2837"/>
      <c r="G4" s="2838"/>
      <c r="H4" s="2839"/>
      <c r="I4" s="2840"/>
      <c r="J4" s="3714" t="s">
        <v>2322</v>
      </c>
      <c r="K4" s="3715"/>
      <c r="L4" s="2852"/>
      <c r="M4" s="2852"/>
      <c r="N4" s="2852"/>
      <c r="O4" s="2852"/>
      <c r="P4" s="2852"/>
      <c r="Q4" s="2853"/>
      <c r="R4" s="2854">
        <f>SUM(L4:Q4)</f>
        <v>0</v>
      </c>
      <c r="S4" s="2832"/>
      <c r="T4" s="2832"/>
      <c r="U4" s="2832"/>
      <c r="V4" s="2840"/>
    </row>
    <row r="5" spans="1:22" s="2844" customFormat="1" ht="13.15" customHeight="1" thickBot="1">
      <c r="A5" s="2855" t="s">
        <v>2323</v>
      </c>
      <c r="B5" s="2856"/>
      <c r="C5" s="2835"/>
      <c r="D5" s="2857"/>
      <c r="E5" s="2837"/>
      <c r="F5" s="2837"/>
      <c r="G5" s="2838"/>
      <c r="H5" s="2839"/>
      <c r="I5" s="2840"/>
      <c r="J5" s="2858" t="s">
        <v>2324</v>
      </c>
      <c r="K5" s="2859"/>
      <c r="L5" s="2859"/>
      <c r="M5" s="2860"/>
      <c r="N5" s="2860"/>
      <c r="O5" s="2860"/>
      <c r="P5" s="2860"/>
      <c r="Q5" s="2860"/>
      <c r="R5" s="2843">
        <f>SUM(R14,R19,R24,R25,R27,R28)</f>
        <v>0</v>
      </c>
      <c r="S5" s="2832"/>
      <c r="T5" s="2832" t="s">
        <v>2325</v>
      </c>
      <c r="U5" s="2832" t="e">
        <f>ROUND(R5*10000/365/R3,1)</f>
        <v>#DIV/0!</v>
      </c>
      <c r="V5" s="2840"/>
    </row>
    <row r="6" spans="1:22" s="2844" customFormat="1" ht="13.15" customHeight="1" thickBot="1">
      <c r="A6" s="3720" t="s">
        <v>2326</v>
      </c>
      <c r="B6" s="3721"/>
      <c r="C6" s="3722"/>
      <c r="D6" s="2861"/>
      <c r="E6" s="2862"/>
      <c r="F6" s="2863"/>
      <c r="G6" s="2864"/>
      <c r="H6" s="2839"/>
      <c r="I6" s="2840"/>
      <c r="J6" s="3706">
        <v>1</v>
      </c>
      <c r="K6" s="3707" t="s">
        <v>2327</v>
      </c>
      <c r="L6" s="2865" t="s">
        <v>2328</v>
      </c>
      <c r="M6" s="2866" t="s">
        <v>2329</v>
      </c>
      <c r="N6" s="2866" t="s">
        <v>2330</v>
      </c>
      <c r="O6" s="2866" t="s">
        <v>2331</v>
      </c>
      <c r="P6" s="2866" t="s">
        <v>2332</v>
      </c>
      <c r="Q6" s="2866" t="s">
        <v>2333</v>
      </c>
      <c r="R6" s="2849" t="s">
        <v>2334</v>
      </c>
      <c r="S6" s="2832"/>
      <c r="T6" s="2832" t="s">
        <v>2335</v>
      </c>
      <c r="U6" s="2832"/>
      <c r="V6" s="2840"/>
    </row>
    <row r="7" spans="1:22" s="2844" customFormat="1" ht="13.15" customHeight="1">
      <c r="A7" s="2867" t="s">
        <v>2336</v>
      </c>
      <c r="B7" s="2868"/>
      <c r="C7" s="2869"/>
      <c r="D7" s="2870">
        <f>SUM(D9,D10,D11,D17,0)</f>
        <v>0</v>
      </c>
      <c r="E7" s="2871" t="e">
        <f>E9+E10+E11+E17</f>
        <v>#DIV/0!</v>
      </c>
      <c r="F7" s="2872"/>
      <c r="G7" s="2873"/>
      <c r="H7" s="2839"/>
      <c r="I7" s="2840"/>
      <c r="J7" s="3706"/>
      <c r="K7" s="3708"/>
      <c r="L7" s="2874" t="s">
        <v>2337</v>
      </c>
      <c r="M7" s="2875"/>
      <c r="N7" s="2851"/>
      <c r="O7" s="2876"/>
      <c r="P7" s="2876"/>
      <c r="Q7" s="2877">
        <v>365</v>
      </c>
      <c r="R7" s="2878">
        <f>ROUND(M7*N7*O7*P7*Q7/10000,0)</f>
        <v>0</v>
      </c>
      <c r="S7" s="2832"/>
      <c r="T7" s="2832" t="s">
        <v>2338</v>
      </c>
      <c r="U7" s="2832"/>
      <c r="V7" s="2840"/>
    </row>
    <row r="8" spans="1:22" s="2844" customFormat="1" ht="13.15" customHeight="1">
      <c r="A8" s="2879" t="s">
        <v>2339</v>
      </c>
      <c r="B8" s="3723" t="s">
        <v>2340</v>
      </c>
      <c r="C8" s="3724"/>
      <c r="D8" s="2880" t="s">
        <v>2341</v>
      </c>
      <c r="E8" s="2881" t="s">
        <v>2342</v>
      </c>
      <c r="F8" s="2882" t="s">
        <v>2343</v>
      </c>
      <c r="G8" s="2883"/>
      <c r="H8" s="2839"/>
      <c r="I8" s="2840"/>
      <c r="J8" s="3706"/>
      <c r="K8" s="3708"/>
      <c r="L8" s="2874" t="s">
        <v>2344</v>
      </c>
      <c r="M8" s="2875"/>
      <c r="N8" s="2851"/>
      <c r="O8" s="2876"/>
      <c r="P8" s="2876"/>
      <c r="Q8" s="2877">
        <v>365</v>
      </c>
      <c r="R8" s="2878">
        <f t="shared" ref="R8:R13" si="0">ROUND(M8*N8*O8*P8*Q8/10000,0)</f>
        <v>0</v>
      </c>
      <c r="S8" s="2832"/>
      <c r="T8" s="2832" t="s">
        <v>2345</v>
      </c>
      <c r="U8" s="2832"/>
      <c r="V8" s="2840"/>
    </row>
    <row r="9" spans="1:22" s="2844" customFormat="1" ht="13.15" customHeight="1">
      <c r="A9" s="2879">
        <v>1</v>
      </c>
      <c r="B9" s="3723" t="s">
        <v>2346</v>
      </c>
      <c r="C9" s="3724"/>
      <c r="D9" s="2880">
        <f>ROUND(D6*E9,0)</f>
        <v>0</v>
      </c>
      <c r="E9" s="2884"/>
      <c r="F9" s="2885" t="s">
        <v>2347</v>
      </c>
      <c r="G9" s="2864"/>
      <c r="H9" s="2839"/>
      <c r="I9" s="2840"/>
      <c r="J9" s="3706"/>
      <c r="K9" s="3708"/>
      <c r="L9" s="2874" t="s">
        <v>2348</v>
      </c>
      <c r="M9" s="2875"/>
      <c r="N9" s="2851"/>
      <c r="O9" s="2876"/>
      <c r="P9" s="2876"/>
      <c r="Q9" s="2877">
        <v>365</v>
      </c>
      <c r="R9" s="2878">
        <f t="shared" si="0"/>
        <v>0</v>
      </c>
      <c r="S9" s="2832"/>
      <c r="T9" s="2832"/>
      <c r="U9" s="2832"/>
      <c r="V9" s="2840"/>
    </row>
    <row r="10" spans="1:22" s="2844" customFormat="1" ht="13.15" customHeight="1">
      <c r="A10" s="2879">
        <v>2</v>
      </c>
      <c r="B10" s="3723" t="s">
        <v>2349</v>
      </c>
      <c r="C10" s="3724"/>
      <c r="D10" s="2880">
        <f>ROUND(D6*E10,0)</f>
        <v>0</v>
      </c>
      <c r="E10" s="2884"/>
      <c r="F10" s="2885" t="s">
        <v>2350</v>
      </c>
      <c r="G10" s="2864"/>
      <c r="H10" s="2839"/>
      <c r="I10" s="2840"/>
      <c r="J10" s="3706"/>
      <c r="K10" s="3708"/>
      <c r="L10" s="2874" t="s">
        <v>2351</v>
      </c>
      <c r="M10" s="2875"/>
      <c r="N10" s="2851"/>
      <c r="O10" s="2876"/>
      <c r="P10" s="2876"/>
      <c r="Q10" s="2877">
        <v>365</v>
      </c>
      <c r="R10" s="2878">
        <f t="shared" si="0"/>
        <v>0</v>
      </c>
      <c r="S10" s="2832"/>
      <c r="T10" s="2832"/>
      <c r="U10" s="2832"/>
      <c r="V10" s="2840"/>
    </row>
    <row r="11" spans="1:22" s="2844" customFormat="1" ht="13.15" customHeight="1">
      <c r="A11" s="2879">
        <v>3</v>
      </c>
      <c r="B11" s="3723" t="s">
        <v>2352</v>
      </c>
      <c r="C11" s="3724"/>
      <c r="D11" s="2880">
        <f>D12+D14+D15+D16</f>
        <v>0</v>
      </c>
      <c r="E11" s="2886" t="e">
        <f>D11/D6</f>
        <v>#DIV/0!</v>
      </c>
      <c r="F11" s="2882"/>
      <c r="G11" s="2883"/>
      <c r="H11" s="2839"/>
      <c r="I11" s="2840"/>
      <c r="J11" s="3706"/>
      <c r="K11" s="3708"/>
      <c r="L11" s="2874" t="s">
        <v>2353</v>
      </c>
      <c r="M11" s="2875"/>
      <c r="N11" s="2851"/>
      <c r="O11" s="2876"/>
      <c r="P11" s="2876"/>
      <c r="Q11" s="2877">
        <v>365</v>
      </c>
      <c r="R11" s="2878">
        <f t="shared" si="0"/>
        <v>0</v>
      </c>
      <c r="S11" s="2832"/>
      <c r="T11" s="2832"/>
      <c r="U11" s="2832"/>
      <c r="V11" s="2840"/>
    </row>
    <row r="12" spans="1:22" s="2844" customFormat="1" ht="13.15" customHeight="1">
      <c r="A12" s="2887" t="s">
        <v>2354</v>
      </c>
      <c r="B12" s="3716" t="s">
        <v>2355</v>
      </c>
      <c r="C12" s="3717"/>
      <c r="D12" s="2888">
        <f>ROUND(D13*1.2%*(1-30%),0)</f>
        <v>0</v>
      </c>
      <c r="E12" s="2889">
        <v>1.2E-2</v>
      </c>
      <c r="F12" s="2882" t="s">
        <v>2356</v>
      </c>
      <c r="G12" s="2883"/>
      <c r="H12" s="2839"/>
      <c r="I12" s="2840"/>
      <c r="J12" s="3706"/>
      <c r="K12" s="3708"/>
      <c r="L12" s="2874" t="s">
        <v>2357</v>
      </c>
      <c r="M12" s="2875"/>
      <c r="N12" s="2851"/>
      <c r="O12" s="2876"/>
      <c r="P12" s="2876"/>
      <c r="Q12" s="2877">
        <v>365</v>
      </c>
      <c r="R12" s="2878">
        <f t="shared" si="0"/>
        <v>0</v>
      </c>
      <c r="S12" s="2832"/>
      <c r="T12" s="2832"/>
      <c r="U12" s="2832"/>
      <c r="V12" s="2840"/>
    </row>
    <row r="13" spans="1:22" s="2844" customFormat="1" ht="13.15" customHeight="1">
      <c r="A13" s="2887"/>
      <c r="B13" s="2890"/>
      <c r="C13" s="2891" t="s">
        <v>2358</v>
      </c>
      <c r="D13" s="2892"/>
      <c r="E13" s="2893"/>
      <c r="F13" s="2882"/>
      <c r="G13" s="2883"/>
      <c r="H13" s="2839"/>
      <c r="I13" s="2840"/>
      <c r="J13" s="3706"/>
      <c r="K13" s="3708"/>
      <c r="L13" s="2874" t="s">
        <v>2359</v>
      </c>
      <c r="M13" s="2875"/>
      <c r="N13" s="2851"/>
      <c r="O13" s="2876"/>
      <c r="P13" s="2876"/>
      <c r="Q13" s="2877">
        <v>365</v>
      </c>
      <c r="R13" s="2878">
        <f t="shared" si="0"/>
        <v>0</v>
      </c>
      <c r="S13" s="2832"/>
      <c r="T13" s="2832"/>
      <c r="U13" s="2832"/>
      <c r="V13" s="2840"/>
    </row>
    <row r="14" spans="1:22" s="2844" customFormat="1" ht="13.15" customHeight="1">
      <c r="A14" s="2887" t="s">
        <v>2360</v>
      </c>
      <c r="B14" s="3716" t="s">
        <v>2361</v>
      </c>
      <c r="C14" s="3717"/>
      <c r="D14" s="2888">
        <f>ROUND(E14*B5/10000,0)</f>
        <v>0</v>
      </c>
      <c r="E14" s="2877"/>
      <c r="F14" s="2882" t="s">
        <v>2362</v>
      </c>
      <c r="G14" s="2883"/>
      <c r="H14" s="2839"/>
      <c r="I14" s="2840"/>
      <c r="J14" s="3706"/>
      <c r="K14" s="3709"/>
      <c r="L14" s="2894" t="s">
        <v>2363</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2364</v>
      </c>
      <c r="B15" s="3716" t="s">
        <v>2365</v>
      </c>
      <c r="C15" s="3717"/>
      <c r="D15" s="2888">
        <f>ROUND(D6*E15,0)</f>
        <v>0</v>
      </c>
      <c r="E15" s="2889">
        <v>5.5E-2</v>
      </c>
      <c r="F15" s="2882" t="s">
        <v>2366</v>
      </c>
      <c r="G15" s="2864"/>
      <c r="H15" s="2839"/>
      <c r="I15" s="2840"/>
      <c r="J15" s="3706">
        <v>2</v>
      </c>
      <c r="K15" s="3707" t="s">
        <v>2367</v>
      </c>
      <c r="L15" s="2874" t="s">
        <v>2368</v>
      </c>
      <c r="M15" s="2875" t="s">
        <v>2369</v>
      </c>
      <c r="N15" s="2875" t="s">
        <v>2370</v>
      </c>
      <c r="O15" s="2876" t="s">
        <v>2371</v>
      </c>
      <c r="P15" s="2876" t="s">
        <v>2333</v>
      </c>
      <c r="Q15" s="2851" t="s">
        <v>2372</v>
      </c>
      <c r="R15" s="2898" t="s">
        <v>2334</v>
      </c>
      <c r="S15" s="2832"/>
      <c r="T15" s="2832"/>
      <c r="U15" s="2832"/>
      <c r="V15" s="2840"/>
    </row>
    <row r="16" spans="1:22" s="2844" customFormat="1" ht="13.15" customHeight="1">
      <c r="A16" s="2887" t="s">
        <v>2373</v>
      </c>
      <c r="B16" s="3716" t="s">
        <v>2374</v>
      </c>
      <c r="C16" s="3717"/>
      <c r="D16" s="2899">
        <f>D6*E16</f>
        <v>0</v>
      </c>
      <c r="E16" s="2900"/>
      <c r="F16" s="2885" t="s">
        <v>2375</v>
      </c>
      <c r="G16" s="2864"/>
      <c r="H16" s="2839"/>
      <c r="I16" s="2840"/>
      <c r="J16" s="3706"/>
      <c r="K16" s="3708"/>
      <c r="L16" s="2874" t="s">
        <v>2376</v>
      </c>
      <c r="M16" s="2875"/>
      <c r="N16" s="2875"/>
      <c r="O16" s="2876"/>
      <c r="P16" s="2877">
        <v>365</v>
      </c>
      <c r="Q16" s="2851"/>
      <c r="R16" s="2898">
        <f>ROUND(M16*N16*O16*P16/10000,0)</f>
        <v>0</v>
      </c>
      <c r="S16" s="2832"/>
      <c r="T16" s="2832"/>
      <c r="U16" s="2832"/>
      <c r="V16" s="2840"/>
    </row>
    <row r="17" spans="1:22" s="2844" customFormat="1" ht="13.15" customHeight="1" thickBot="1">
      <c r="A17" s="2901">
        <v>4</v>
      </c>
      <c r="B17" s="3718" t="s">
        <v>2377</v>
      </c>
      <c r="C17" s="3719"/>
      <c r="D17" s="2902">
        <f>ROUND(D6*E17,0)</f>
        <v>0</v>
      </c>
      <c r="E17" s="2903"/>
      <c r="F17" s="2904" t="s">
        <v>2378</v>
      </c>
      <c r="G17" s="2864"/>
      <c r="H17" s="2839"/>
      <c r="I17" s="2840"/>
      <c r="J17" s="3706"/>
      <c r="K17" s="3708"/>
      <c r="L17" s="2874" t="s">
        <v>2379</v>
      </c>
      <c r="M17" s="2875"/>
      <c r="N17" s="2875"/>
      <c r="O17" s="2876"/>
      <c r="P17" s="2877">
        <v>365</v>
      </c>
      <c r="Q17" s="2851"/>
      <c r="R17" s="2898">
        <f>ROUND(M17*N17*O17*P17/10000,0)</f>
        <v>0</v>
      </c>
      <c r="S17" s="2832"/>
      <c r="T17" s="2832"/>
      <c r="U17" s="2832"/>
      <c r="V17" s="2840"/>
    </row>
    <row r="18" spans="1:22" s="2844" customFormat="1" ht="13.15" customHeight="1" thickBot="1">
      <c r="A18" s="2867" t="s">
        <v>2380</v>
      </c>
      <c r="B18" s="2868"/>
      <c r="C18" s="2868"/>
      <c r="D18" s="2905">
        <f>ROUND(D6*E18,0)</f>
        <v>0</v>
      </c>
      <c r="E18" s="2906"/>
      <c r="F18" s="2907" t="s">
        <v>2381</v>
      </c>
      <c r="G18" s="2864"/>
      <c r="H18" s="2839"/>
      <c r="I18" s="2840"/>
      <c r="J18" s="3706"/>
      <c r="K18" s="3708"/>
      <c r="L18" s="2874" t="s">
        <v>2382</v>
      </c>
      <c r="M18" s="2875"/>
      <c r="N18" s="2875"/>
      <c r="O18" s="2876"/>
      <c r="P18" s="2877">
        <v>365</v>
      </c>
      <c r="Q18" s="2851"/>
      <c r="R18" s="2898">
        <f>ROUND(M18*N18*O18*P18/10000,0)</f>
        <v>0</v>
      </c>
      <c r="S18" s="2832"/>
      <c r="T18" s="2832"/>
      <c r="U18" s="2832"/>
      <c r="V18" s="2840"/>
    </row>
    <row r="19" spans="1:22" s="2844" customFormat="1" ht="13.15" customHeight="1" thickBot="1">
      <c r="A19" s="2908" t="s">
        <v>2383</v>
      </c>
      <c r="B19" s="2862"/>
      <c r="C19" s="2862"/>
      <c r="D19" s="2862"/>
      <c r="E19" s="2862"/>
      <c r="F19" s="2863"/>
      <c r="G19" s="2883"/>
      <c r="H19" s="2839"/>
      <c r="I19" s="2840"/>
      <c r="J19" s="3706"/>
      <c r="K19" s="3709"/>
      <c r="L19" s="2894" t="s">
        <v>2363</v>
      </c>
      <c r="M19" s="2895"/>
      <c r="N19" s="2895">
        <f>SUM(N16:N18)</f>
        <v>0</v>
      </c>
      <c r="O19" s="2896"/>
      <c r="P19" s="2909" t="s">
        <v>2427</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706">
        <v>3</v>
      </c>
      <c r="K20" s="3707" t="s">
        <v>2384</v>
      </c>
      <c r="L20" s="2874" t="s">
        <v>2385</v>
      </c>
      <c r="M20" s="2875" t="s">
        <v>2386</v>
      </c>
      <c r="N20" s="2912" t="s">
        <v>2387</v>
      </c>
      <c r="O20" s="2876" t="s">
        <v>2388</v>
      </c>
      <c r="P20" s="2877" t="s">
        <v>2389</v>
      </c>
      <c r="Q20" s="2851" t="s">
        <v>2390</v>
      </c>
      <c r="R20" s="2898" t="s">
        <v>2391</v>
      </c>
      <c r="S20" s="2913"/>
      <c r="T20" s="2913"/>
      <c r="U20" s="2913"/>
      <c r="V20" s="2840"/>
    </row>
    <row r="21" spans="1:22" s="2844" customFormat="1" ht="13.15" customHeight="1">
      <c r="A21" s="2867"/>
      <c r="B21" s="2868"/>
      <c r="C21" s="2914" t="s">
        <v>2392</v>
      </c>
      <c r="D21" s="2915" t="s">
        <v>2393</v>
      </c>
      <c r="E21" s="2916" t="s">
        <v>2394</v>
      </c>
      <c r="F21" s="2911"/>
      <c r="G21" s="2883"/>
      <c r="H21" s="2839"/>
      <c r="I21" s="2840"/>
      <c r="J21" s="3706"/>
      <c r="K21" s="3708"/>
      <c r="L21" s="2874" t="s">
        <v>2395</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2396</v>
      </c>
      <c r="D22" s="2919" t="s">
        <v>2397</v>
      </c>
      <c r="E22" s="2920" t="s">
        <v>2398</v>
      </c>
      <c r="F22" s="2911"/>
      <c r="G22" s="2921"/>
      <c r="H22" s="2839"/>
      <c r="I22" s="2840"/>
      <c r="J22" s="3706"/>
      <c r="K22" s="3708"/>
      <c r="L22" s="2874" t="s">
        <v>2399</v>
      </c>
      <c r="M22" s="2875"/>
      <c r="N22" s="2875"/>
      <c r="O22" s="2876"/>
      <c r="P22" s="2877">
        <v>365</v>
      </c>
      <c r="Q22" s="2851"/>
      <c r="R22" s="2917">
        <f>ROUND(M22*N22*O22*P22/10000,0)</f>
        <v>0</v>
      </c>
      <c r="S22" s="2913"/>
      <c r="T22" s="2913"/>
      <c r="U22" s="2913"/>
      <c r="V22" s="2840"/>
    </row>
    <row r="23" spans="1:22" s="2844" customFormat="1" ht="13.15" customHeight="1">
      <c r="A23" s="2922">
        <v>1</v>
      </c>
      <c r="B23" s="2923" t="s">
        <v>2400</v>
      </c>
      <c r="C23" s="2924">
        <f>D6</f>
        <v>0</v>
      </c>
      <c r="D23" s="2925">
        <f>C23*(1+D24)</f>
        <v>0</v>
      </c>
      <c r="E23" s="2926">
        <f>D23*(1+E24)</f>
        <v>0</v>
      </c>
      <c r="F23" s="2927"/>
      <c r="G23" s="2928"/>
      <c r="H23" s="2839"/>
      <c r="I23" s="2840"/>
      <c r="J23" s="3706"/>
      <c r="K23" s="3708"/>
      <c r="L23" s="2874" t="s">
        <v>2401</v>
      </c>
      <c r="M23" s="2875"/>
      <c r="N23" s="2875"/>
      <c r="O23" s="2876"/>
      <c r="P23" s="2877">
        <v>365</v>
      </c>
      <c r="Q23" s="2851"/>
      <c r="R23" s="2917">
        <f>ROUND(M23*N23*O23*P23/10000,0)</f>
        <v>0</v>
      </c>
      <c r="S23" s="2832"/>
      <c r="T23" s="2832"/>
      <c r="U23" s="2832"/>
      <c r="V23" s="2840"/>
    </row>
    <row r="24" spans="1:22" s="2844" customFormat="1" ht="13.15" customHeight="1">
      <c r="A24" s="2929"/>
      <c r="B24" s="2930" t="s">
        <v>2402</v>
      </c>
      <c r="C24" s="2931"/>
      <c r="D24" s="2932"/>
      <c r="E24" s="2933"/>
      <c r="F24" s="2934"/>
      <c r="G24" s="2928"/>
      <c r="H24" s="2839"/>
      <c r="I24" s="2840"/>
      <c r="J24" s="3706"/>
      <c r="K24" s="3709"/>
      <c r="L24" s="2894" t="s">
        <v>2363</v>
      </c>
      <c r="M24" s="2895">
        <f>SUM(M21:M23)</f>
        <v>0</v>
      </c>
      <c r="N24" s="2895"/>
      <c r="O24" s="2896"/>
      <c r="P24" s="2909" t="s">
        <v>2427</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2403</v>
      </c>
      <c r="L25" s="2937"/>
      <c r="M25" s="2937"/>
      <c r="N25" s="2937"/>
      <c r="O25" s="2937"/>
      <c r="P25" s="2938"/>
      <c r="Q25" s="2939">
        <v>0</v>
      </c>
      <c r="R25" s="2910">
        <f>ROUND(R14*Q25,0)</f>
        <v>0</v>
      </c>
      <c r="S25" s="2832"/>
      <c r="T25" s="2832"/>
      <c r="U25" s="2832"/>
      <c r="V25" s="2940"/>
    </row>
    <row r="26" spans="1:22" s="2941" customFormat="1" ht="13.15" customHeight="1">
      <c r="A26" s="2922">
        <v>2</v>
      </c>
      <c r="B26" s="2923" t="s">
        <v>2404</v>
      </c>
      <c r="C26" s="2924">
        <f>D7</f>
        <v>0</v>
      </c>
      <c r="D26" s="2925">
        <f>D23*D27</f>
        <v>0</v>
      </c>
      <c r="E26" s="2926">
        <f>E23*E27</f>
        <v>0</v>
      </c>
      <c r="F26" s="2927"/>
      <c r="G26" s="2928"/>
      <c r="H26" s="2839"/>
      <c r="I26" s="2840"/>
      <c r="J26" s="3710">
        <v>5</v>
      </c>
      <c r="K26" s="2942" t="s">
        <v>2405</v>
      </c>
      <c r="L26" s="2943"/>
      <c r="M26" s="2944"/>
      <c r="N26" s="2945" t="s">
        <v>2406</v>
      </c>
      <c r="O26" s="2945" t="s">
        <v>2407</v>
      </c>
      <c r="P26" s="2946" t="s">
        <v>2408</v>
      </c>
      <c r="Q26" s="2946" t="s">
        <v>2409</v>
      </c>
      <c r="R26" s="2849" t="s">
        <v>2334</v>
      </c>
      <c r="S26" s="2947"/>
      <c r="T26" s="2947"/>
      <c r="U26" s="2947"/>
      <c r="V26" s="2940"/>
    </row>
    <row r="27" spans="1:22" s="2844" customFormat="1" ht="13.15" customHeight="1">
      <c r="A27" s="2929"/>
      <c r="B27" s="2930" t="s">
        <v>2410</v>
      </c>
      <c r="C27" s="2948" t="e">
        <f>E7</f>
        <v>#DIV/0!</v>
      </c>
      <c r="D27" s="2932"/>
      <c r="E27" s="2933"/>
      <c r="F27" s="2934"/>
      <c r="G27" s="2928"/>
      <c r="H27" s="2949"/>
      <c r="I27" s="2940"/>
      <c r="J27" s="3711"/>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2411</v>
      </c>
      <c r="F28" s="2934"/>
      <c r="G28" s="2921"/>
      <c r="H28" s="2949"/>
      <c r="I28" s="2940"/>
      <c r="J28" s="2955">
        <v>6</v>
      </c>
      <c r="K28" s="2956" t="s">
        <v>2412</v>
      </c>
      <c r="L28" s="2957" t="s">
        <v>2413</v>
      </c>
      <c r="M28" s="2958"/>
      <c r="N28" s="2957" t="s">
        <v>2414</v>
      </c>
      <c r="O28" s="2959"/>
      <c r="P28" s="2957" t="s">
        <v>2415</v>
      </c>
      <c r="Q28" s="2960">
        <v>1.4999999999999999E-2</v>
      </c>
      <c r="R28" s="2961"/>
      <c r="S28" s="2913"/>
      <c r="T28" s="2913"/>
      <c r="U28" s="2913"/>
      <c r="V28" s="2940"/>
    </row>
    <row r="29" spans="1:22" s="2941" customFormat="1" ht="13.15" customHeight="1">
      <c r="A29" s="2922">
        <v>3</v>
      </c>
      <c r="B29" s="2923" t="s">
        <v>2416</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2410</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2417</v>
      </c>
      <c r="K31" s="2830"/>
      <c r="L31" s="2830"/>
      <c r="M31" s="2830"/>
      <c r="N31" s="2830"/>
      <c r="O31" s="2830"/>
      <c r="P31" s="2830"/>
      <c r="Q31" s="2830"/>
      <c r="R31" s="2831"/>
      <c r="S31" s="2913"/>
      <c r="T31" s="2832"/>
      <c r="U31" s="2832"/>
      <c r="V31" s="2940"/>
    </row>
    <row r="32" spans="1:22" s="2941" customFormat="1" ht="13.15" customHeight="1">
      <c r="A32" s="2922">
        <v>4</v>
      </c>
      <c r="B32" s="2923" t="s">
        <v>2418</v>
      </c>
      <c r="C32" s="2924">
        <f>C23-C26-C29</f>
        <v>0</v>
      </c>
      <c r="D32" s="2925">
        <f>D23-D26-D29</f>
        <v>0</v>
      </c>
      <c r="E32" s="2926">
        <f>E23-E26-E29</f>
        <v>0</v>
      </c>
      <c r="F32" s="2927"/>
      <c r="G32" s="2921"/>
      <c r="H32" s="2839"/>
      <c r="I32" s="2840"/>
      <c r="J32" s="3712" t="s">
        <v>2310</v>
      </c>
      <c r="K32" s="3713"/>
      <c r="L32" s="2841" t="s">
        <v>2311</v>
      </c>
      <c r="M32" s="2841" t="s">
        <v>2312</v>
      </c>
      <c r="N32" s="2841" t="s">
        <v>2313</v>
      </c>
      <c r="O32" s="2841" t="s">
        <v>2314</v>
      </c>
      <c r="P32" s="2841" t="s">
        <v>2315</v>
      </c>
      <c r="Q32" s="2842" t="s">
        <v>2316</v>
      </c>
      <c r="R32" s="2964" t="s">
        <v>2317</v>
      </c>
      <c r="S32" s="2913"/>
      <c r="T32" s="2832"/>
      <c r="U32" s="2832"/>
      <c r="V32" s="2940"/>
    </row>
    <row r="33" spans="1:23" s="2844" customFormat="1" ht="13.15" customHeight="1">
      <c r="A33" s="2922"/>
      <c r="B33" s="2923"/>
      <c r="C33" s="2924"/>
      <c r="D33" s="2965"/>
      <c r="E33" s="2966"/>
      <c r="F33" s="2927"/>
      <c r="G33" s="2921"/>
      <c r="H33" s="2949"/>
      <c r="I33" s="2940"/>
      <c r="J33" s="3714" t="s">
        <v>2320</v>
      </c>
      <c r="K33" s="3715"/>
      <c r="L33" s="2847"/>
      <c r="M33" s="2847"/>
      <c r="N33" s="2847"/>
      <c r="O33" s="2847"/>
      <c r="P33" s="2847"/>
      <c r="Q33" s="2848"/>
      <c r="R33" s="2967">
        <f>SUM(L33:Q33)</f>
        <v>0</v>
      </c>
      <c r="S33" s="2913"/>
      <c r="T33" s="2832"/>
      <c r="U33" s="2832"/>
      <c r="V33" s="2840"/>
    </row>
    <row r="34" spans="1:23" s="2844" customFormat="1" ht="13.15" customHeight="1">
      <c r="A34" s="2922">
        <v>5</v>
      </c>
      <c r="B34" s="2923" t="s">
        <v>2419</v>
      </c>
      <c r="C34" s="2968"/>
      <c r="D34" s="2969"/>
      <c r="E34" s="2970"/>
      <c r="F34" s="2927"/>
      <c r="G34" s="2921"/>
      <c r="H34" s="2949"/>
      <c r="I34" s="2940"/>
      <c r="J34" s="3714" t="s">
        <v>2322</v>
      </c>
      <c r="K34" s="3715"/>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2420</v>
      </c>
      <c r="C35" s="2972"/>
      <c r="D35" s="2973"/>
      <c r="E35" s="2974"/>
      <c r="F35" s="2927"/>
      <c r="G35" s="2975"/>
      <c r="H35" s="2839"/>
      <c r="I35" s="2940"/>
      <c r="J35" s="2858" t="s">
        <v>2324</v>
      </c>
      <c r="K35" s="2859"/>
      <c r="L35" s="2859"/>
      <c r="M35" s="2860"/>
      <c r="N35" s="2860"/>
      <c r="O35" s="2860"/>
      <c r="P35" s="2860"/>
      <c r="Q35" s="2860"/>
      <c r="R35" s="2976">
        <f>R40+R41+R43</f>
        <v>0</v>
      </c>
      <c r="S35" s="2913"/>
      <c r="T35" s="2832" t="s">
        <v>2325</v>
      </c>
      <c r="U35" s="2832"/>
      <c r="V35" s="2840"/>
    </row>
    <row r="36" spans="1:23" s="2844" customFormat="1" ht="13.15" customHeight="1" thickBot="1">
      <c r="A36" s="2922">
        <v>7</v>
      </c>
      <c r="B36" s="2977" t="s">
        <v>2421</v>
      </c>
      <c r="C36" s="2978"/>
      <c r="D36" s="2979"/>
      <c r="E36" s="2980"/>
      <c r="F36" s="2981">
        <f>C36+D36+E36</f>
        <v>0</v>
      </c>
      <c r="G36" s="2921"/>
      <c r="H36" s="2839"/>
      <c r="I36" s="2840"/>
      <c r="J36" s="3706">
        <v>1</v>
      </c>
      <c r="K36" s="3707" t="s">
        <v>2422</v>
      </c>
      <c r="L36" s="2865"/>
      <c r="M36" s="2866"/>
      <c r="N36" s="2866"/>
      <c r="O36" s="2866"/>
      <c r="P36" s="2866"/>
      <c r="Q36" s="2866"/>
      <c r="R36" s="2849" t="s">
        <v>2334</v>
      </c>
      <c r="S36" s="2913"/>
      <c r="T36" s="2832" t="s">
        <v>2335</v>
      </c>
      <c r="U36" s="2832"/>
      <c r="V36" s="2840"/>
    </row>
    <row r="37" spans="1:23" s="2844" customFormat="1" ht="13.15" customHeight="1">
      <c r="A37" s="2922"/>
      <c r="B37" s="2923"/>
      <c r="C37" s="2923"/>
      <c r="D37" s="2923"/>
      <c r="E37" s="2923"/>
      <c r="F37" s="2927"/>
      <c r="G37" s="2921"/>
      <c r="H37" s="2839"/>
      <c r="I37" s="2840"/>
      <c r="J37" s="3706"/>
      <c r="K37" s="3708"/>
      <c r="L37" s="2874"/>
      <c r="M37" s="2875"/>
      <c r="N37" s="2851"/>
      <c r="O37" s="2876"/>
      <c r="P37" s="2876"/>
      <c r="Q37" s="2877"/>
      <c r="R37" s="2878"/>
      <c r="S37" s="2913"/>
      <c r="T37" s="2832" t="s">
        <v>2338</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706"/>
      <c r="K38" s="3708"/>
      <c r="L38" s="2874"/>
      <c r="M38" s="2875"/>
      <c r="N38" s="2851"/>
      <c r="O38" s="2876"/>
      <c r="P38" s="2876"/>
      <c r="Q38" s="2877"/>
      <c r="R38" s="2878"/>
      <c r="S38" s="2913"/>
      <c r="T38" s="2832" t="s">
        <v>2345</v>
      </c>
      <c r="U38" s="2832"/>
      <c r="V38" s="2840"/>
    </row>
    <row r="39" spans="1:23" s="2844" customFormat="1" ht="13.15" customHeight="1">
      <c r="A39" s="2922">
        <v>9</v>
      </c>
      <c r="B39" s="2923" t="s">
        <v>2423</v>
      </c>
      <c r="C39" s="2888" t="e">
        <f>C38</f>
        <v>#DIV/0!</v>
      </c>
      <c r="D39" s="2923">
        <f>D38/(1+D34)^C36</f>
        <v>0</v>
      </c>
      <c r="E39" s="2923">
        <f>E38/(1+E34)^(C36+D36)</f>
        <v>0</v>
      </c>
      <c r="F39" s="2927"/>
      <c r="G39" s="2982"/>
      <c r="H39" s="2839"/>
      <c r="I39" s="2840"/>
      <c r="J39" s="3706"/>
      <c r="K39" s="3708"/>
      <c r="L39" s="2874"/>
      <c r="M39" s="2875"/>
      <c r="N39" s="2851"/>
      <c r="O39" s="2876"/>
      <c r="P39" s="2876"/>
      <c r="Q39" s="2877"/>
      <c r="R39" s="2878"/>
      <c r="S39" s="2913"/>
      <c r="T39" s="2832"/>
      <c r="U39" s="2832"/>
      <c r="V39" s="2840"/>
    </row>
    <row r="40" spans="1:23" s="2844" customFormat="1" ht="13.15" customHeight="1">
      <c r="A40" s="2983">
        <v>10</v>
      </c>
      <c r="B40" s="2923" t="s">
        <v>2424</v>
      </c>
      <c r="C40" s="2984" t="e">
        <f>C39+D39+E39</f>
        <v>#DIV/0!</v>
      </c>
      <c r="D40" s="2985"/>
      <c r="E40" s="2985"/>
      <c r="F40" s="2986"/>
      <c r="G40" s="2921"/>
      <c r="H40" s="2839"/>
      <c r="I40" s="2840"/>
      <c r="J40" s="3706"/>
      <c r="K40" s="3709"/>
      <c r="L40" s="2894" t="s">
        <v>2363</v>
      </c>
      <c r="M40" s="2895"/>
      <c r="N40" s="2895"/>
      <c r="O40" s="2896"/>
      <c r="P40" s="2896"/>
      <c r="Q40" s="2897"/>
      <c r="R40" s="2843">
        <f>SUM(R37:R39)</f>
        <v>0</v>
      </c>
      <c r="S40" s="2913"/>
      <c r="T40" s="2832"/>
      <c r="U40" s="2832"/>
      <c r="V40" s="2840"/>
    </row>
    <row r="41" spans="1:23" s="2844" customFormat="1" ht="13.15" customHeight="1" thickBot="1">
      <c r="A41" s="2987">
        <v>11</v>
      </c>
      <c r="B41" s="2988" t="s">
        <v>2425</v>
      </c>
      <c r="C41" s="2988" t="e">
        <f>ROUND(C40*10000/B4,0)</f>
        <v>#DIV/0!</v>
      </c>
      <c r="D41" s="2989"/>
      <c r="E41" s="2989"/>
      <c r="F41" s="2990"/>
      <c r="G41" s="2991"/>
      <c r="H41" s="2839"/>
      <c r="I41" s="2840"/>
      <c r="J41" s="2935">
        <v>2</v>
      </c>
      <c r="K41" s="2936" t="s">
        <v>2403</v>
      </c>
      <c r="L41" s="2937"/>
      <c r="M41" s="2937"/>
      <c r="N41" s="2937"/>
      <c r="O41" s="2937"/>
      <c r="P41" s="2938"/>
      <c r="Q41" s="2939"/>
      <c r="R41" s="2910">
        <f>ROUND(R40*Q41,0)</f>
        <v>0</v>
      </c>
      <c r="S41" s="2913"/>
      <c r="T41" s="2832"/>
      <c r="U41" s="2947"/>
      <c r="V41" s="2840"/>
    </row>
    <row r="42" spans="1:23" s="2844" customFormat="1" ht="13.15" customHeight="1">
      <c r="G42" s="2991"/>
      <c r="H42" s="2839"/>
      <c r="I42" s="2840"/>
      <c r="J42" s="3710">
        <v>3</v>
      </c>
      <c r="K42" s="2942" t="s">
        <v>2405</v>
      </c>
      <c r="L42" s="2943"/>
      <c r="M42" s="2944"/>
      <c r="N42" s="2945" t="s">
        <v>2406</v>
      </c>
      <c r="O42" s="2945" t="s">
        <v>2407</v>
      </c>
      <c r="P42" s="2946" t="s">
        <v>2408</v>
      </c>
      <c r="Q42" s="2946" t="s">
        <v>2409</v>
      </c>
      <c r="R42" s="2849" t="s">
        <v>2334</v>
      </c>
      <c r="S42" s="2947"/>
      <c r="T42" s="2947"/>
      <c r="U42" s="2832"/>
      <c r="V42" s="2840"/>
    </row>
    <row r="43" spans="1:23" ht="13.15" customHeight="1">
      <c r="A43" s="2844"/>
      <c r="B43" s="2844"/>
      <c r="C43" s="2844"/>
      <c r="D43" s="2844"/>
      <c r="E43" s="2844"/>
      <c r="F43" s="2844"/>
      <c r="I43" s="2827"/>
      <c r="J43" s="3711"/>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2412</v>
      </c>
      <c r="L44" s="2995" t="s">
        <v>2413</v>
      </c>
      <c r="M44" s="2958"/>
      <c r="N44" s="2995" t="s">
        <v>2414</v>
      </c>
      <c r="O44" s="2958"/>
      <c r="P44" s="2995" t="s">
        <v>2415</v>
      </c>
      <c r="Q44" s="2960">
        <v>1.4999999999999999E-2</v>
      </c>
      <c r="R44" s="296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1656</v>
      </c>
      <c r="B1" s="1865"/>
      <c r="C1" s="1865"/>
      <c r="D1" s="1865"/>
      <c r="E1" s="1866"/>
      <c r="F1" s="2698"/>
      <c r="G1" s="1486"/>
      <c r="H1" s="1486"/>
      <c r="I1" s="1486"/>
      <c r="J1" s="1486"/>
      <c r="K1" s="1486"/>
      <c r="L1" s="1486"/>
      <c r="M1" s="1486"/>
      <c r="N1" s="1486"/>
      <c r="O1" s="1486"/>
      <c r="P1" s="1486"/>
      <c r="Q1" s="1486"/>
      <c r="R1" s="1486"/>
      <c r="S1" s="1486"/>
    </row>
    <row r="2" spans="1:22" ht="15.75">
      <c r="A2" s="1867" t="s">
        <v>1460</v>
      </c>
      <c r="B2" s="1868">
        <f ca="1">SUMIF(B6:B13,"&lt;&gt;#ref!",B6:B13)</f>
        <v>0</v>
      </c>
      <c r="C2" s="1869" t="s">
        <v>1649</v>
      </c>
      <c r="D2" s="1870" t="s">
        <v>1650</v>
      </c>
      <c r="E2" s="2598">
        <f>SUM(E6:E13)</f>
        <v>0</v>
      </c>
      <c r="F2" s="2698"/>
      <c r="G2" s="1486"/>
      <c r="H2" s="1486"/>
      <c r="I2" s="1486"/>
      <c r="J2" s="1486"/>
      <c r="K2" s="1486"/>
      <c r="L2" s="1486"/>
      <c r="M2" s="1486"/>
      <c r="N2" s="1486"/>
      <c r="O2" s="1486"/>
      <c r="P2" s="1486"/>
      <c r="Q2" s="1486"/>
      <c r="R2" s="1486"/>
      <c r="S2" s="1486"/>
    </row>
    <row r="3" spans="1:22" ht="15.75">
      <c r="A3" s="1867" t="s">
        <v>686</v>
      </c>
      <c r="B3" s="2592" t="e">
        <f ca="1">ROUND(B2*10000/E2,0)</f>
        <v>#DIV/0!</v>
      </c>
      <c r="C3" s="1869" t="s">
        <v>1657</v>
      </c>
      <c r="D3" s="2700"/>
      <c r="E3" s="2702"/>
      <c r="F3" s="2698"/>
      <c r="G3" s="1486"/>
      <c r="H3" s="1486"/>
      <c r="I3" s="1486"/>
      <c r="J3" s="1486"/>
      <c r="K3" s="1486"/>
      <c r="L3" s="1486"/>
      <c r="M3" s="1486"/>
      <c r="N3" s="1486"/>
      <c r="O3" s="1486"/>
      <c r="P3" s="1486"/>
      <c r="Q3" s="1486"/>
      <c r="R3" s="1486"/>
      <c r="S3" s="1486"/>
    </row>
    <row r="4" spans="1:22" ht="15.75">
      <c r="A4" s="2703"/>
      <c r="B4" s="2700"/>
      <c r="C4" s="2700"/>
      <c r="D4" s="2700"/>
      <c r="E4" s="2702"/>
      <c r="F4" s="2698"/>
      <c r="G4" s="1486"/>
      <c r="H4" s="1486"/>
      <c r="I4" s="1486"/>
      <c r="J4" s="1486"/>
      <c r="K4" s="1486"/>
      <c r="L4" s="1486"/>
      <c r="M4" s="1486"/>
      <c r="N4" s="1486"/>
      <c r="O4" s="1486"/>
      <c r="P4" s="1486"/>
      <c r="Q4" s="1486"/>
      <c r="R4" s="1486"/>
      <c r="S4" s="1486"/>
    </row>
    <row r="5" spans="1:22" ht="15">
      <c r="A5" s="2594" t="s">
        <v>1651</v>
      </c>
      <c r="B5" s="3725" t="s">
        <v>1652</v>
      </c>
      <c r="C5" s="3726"/>
      <c r="D5" s="2699"/>
      <c r="E5" s="1871" t="s">
        <v>1653</v>
      </c>
      <c r="F5" s="1872" t="s">
        <v>1654</v>
      </c>
      <c r="G5" s="1486"/>
      <c r="H5" s="1486"/>
      <c r="I5" s="1486"/>
      <c r="J5" s="1486"/>
      <c r="K5" s="1486"/>
      <c r="L5" s="1486"/>
      <c r="M5" s="1486"/>
      <c r="N5" s="1486"/>
      <c r="O5" s="1486"/>
      <c r="P5" s="1486"/>
      <c r="Q5" s="1486"/>
      <c r="R5" s="1486"/>
      <c r="S5" s="1486"/>
    </row>
    <row r="6" spans="1:22">
      <c r="A6" s="2595">
        <f>'数据-取费表'!AN6</f>
        <v>0</v>
      </c>
      <c r="B6" s="2593" t="e">
        <f ca="1">IF(F6="是",'数据-取费表'!AO6,0)</f>
        <v>#REF!</v>
      </c>
      <c r="C6" s="1869" t="s">
        <v>1649</v>
      </c>
      <c r="D6" s="2700"/>
      <c r="E6" s="2597">
        <f>IF(OR(A6=0,F6="否"),0,'数据-取费表'!K6+'数据-取费表'!S6)</f>
        <v>0</v>
      </c>
      <c r="F6" s="1873" t="s">
        <v>1655</v>
      </c>
      <c r="G6" s="1486"/>
      <c r="H6" s="1486"/>
      <c r="I6" s="1486"/>
      <c r="J6" s="1486"/>
      <c r="K6" s="1486"/>
      <c r="L6" s="1486"/>
      <c r="M6" s="1486"/>
      <c r="N6" s="1486"/>
      <c r="O6" s="1486"/>
      <c r="P6" s="1486"/>
      <c r="Q6" s="1486"/>
      <c r="R6" s="1486"/>
      <c r="S6" s="1486"/>
    </row>
    <row r="7" spans="1:22">
      <c r="A7" s="2595">
        <f>'数据-取费表'!AN7</f>
        <v>0</v>
      </c>
      <c r="B7" s="2593" t="e">
        <f ca="1">IF(F7="是",'数据-取费表'!AO7,0)</f>
        <v>#REF!</v>
      </c>
      <c r="C7" s="1869" t="s">
        <v>1649</v>
      </c>
      <c r="D7" s="2700"/>
      <c r="E7" s="2597">
        <f>IF(OR(A7=0,F7="否"),0,'数据-取费表'!K7+'数据-取费表'!S7)</f>
        <v>0</v>
      </c>
      <c r="F7" s="1873" t="s">
        <v>1655</v>
      </c>
      <c r="G7" s="1486"/>
      <c r="H7" s="1486"/>
      <c r="I7" s="1486"/>
      <c r="J7" s="1486"/>
      <c r="K7" s="1486"/>
      <c r="L7" s="1486"/>
      <c r="M7" s="1486"/>
      <c r="N7" s="1486"/>
      <c r="O7" s="1486"/>
      <c r="P7" s="1486"/>
      <c r="Q7" s="1486"/>
      <c r="R7" s="1486"/>
      <c r="S7" s="1486"/>
    </row>
    <row r="8" spans="1:22">
      <c r="A8" s="2595">
        <f>'数据-取费表'!AN8</f>
        <v>0</v>
      </c>
      <c r="B8" s="2593" t="e">
        <f ca="1">IF(F8="是",'数据-取费表'!AO8,0)</f>
        <v>#REF!</v>
      </c>
      <c r="C8" s="1869" t="s">
        <v>1649</v>
      </c>
      <c r="D8" s="2700"/>
      <c r="E8" s="2597">
        <f>IF(OR(A8=0,F8="否"),0,'数据-取费表'!K8+'数据-取费表'!S8)</f>
        <v>0</v>
      </c>
      <c r="F8" s="1873" t="s">
        <v>1655</v>
      </c>
      <c r="G8" s="1486"/>
      <c r="H8" s="1486"/>
      <c r="I8" s="1486"/>
      <c r="J8" s="1486"/>
      <c r="K8" s="1486"/>
      <c r="L8" s="1486"/>
      <c r="M8" s="1486"/>
      <c r="N8" s="1486"/>
      <c r="O8" s="1486"/>
      <c r="P8" s="1486"/>
      <c r="Q8" s="1486"/>
      <c r="R8" s="1486"/>
      <c r="S8" s="1486"/>
    </row>
    <row r="9" spans="1:22">
      <c r="A9" s="2595">
        <f>'数据-取费表'!AN9</f>
        <v>0</v>
      </c>
      <c r="B9" s="2593" t="e">
        <f ca="1">IF(F9="是",'数据-取费表'!AO9,0)</f>
        <v>#REF!</v>
      </c>
      <c r="C9" s="1869" t="s">
        <v>1649</v>
      </c>
      <c r="D9" s="2700"/>
      <c r="E9" s="2597">
        <f>IF(OR(A9=0,F9="否"),0,'数据-取费表'!K9+'数据-取费表'!S9)</f>
        <v>0</v>
      </c>
      <c r="F9" s="1873" t="s">
        <v>1655</v>
      </c>
      <c r="G9" s="1486"/>
      <c r="H9" s="1486"/>
      <c r="I9" s="1486"/>
      <c r="J9" s="1486"/>
      <c r="K9" s="1486"/>
      <c r="L9" s="1486"/>
      <c r="M9" s="1486"/>
      <c r="N9" s="1486"/>
      <c r="O9" s="1486"/>
      <c r="P9" s="1486"/>
      <c r="Q9" s="1486"/>
      <c r="R9" s="1486"/>
      <c r="S9" s="1486"/>
    </row>
    <row r="10" spans="1:22">
      <c r="A10" s="2595">
        <f>'数据-取费表'!AN10</f>
        <v>0</v>
      </c>
      <c r="B10" s="2593" t="e">
        <f ca="1">IF(F10="是",'数据-取费表'!AO10,0)</f>
        <v>#REF!</v>
      </c>
      <c r="C10" s="1869" t="s">
        <v>1649</v>
      </c>
      <c r="D10" s="2700"/>
      <c r="E10" s="2597">
        <f>IF(OR(A10=0,F10="否"),0,'数据-取费表'!K10+'数据-取费表'!S10)</f>
        <v>0</v>
      </c>
      <c r="F10" s="1873" t="s">
        <v>1655</v>
      </c>
      <c r="G10" s="1486"/>
      <c r="H10" s="1486"/>
      <c r="I10" s="1486"/>
      <c r="J10" s="1486"/>
      <c r="K10" s="1486"/>
      <c r="L10" s="1486"/>
      <c r="M10" s="1486"/>
      <c r="N10" s="1486"/>
      <c r="O10" s="1486"/>
      <c r="P10" s="1486"/>
      <c r="Q10" s="1486"/>
      <c r="R10" s="1486"/>
      <c r="S10" s="1486"/>
    </row>
    <row r="11" spans="1:22">
      <c r="A11" s="2595">
        <f>'数据-取费表'!AN11</f>
        <v>0</v>
      </c>
      <c r="B11" s="2593" t="e">
        <f ca="1">IF(F11="是",'数据-取费表'!AO11,0)</f>
        <v>#REF!</v>
      </c>
      <c r="C11" s="1869" t="s">
        <v>1649</v>
      </c>
      <c r="D11" s="2700"/>
      <c r="E11" s="2597">
        <f>IF(OR(A11=0,F11="否"),0,'数据-取费表'!K11+'数据-取费表'!S11)</f>
        <v>0</v>
      </c>
      <c r="F11" s="1873" t="s">
        <v>1655</v>
      </c>
      <c r="G11" s="1486"/>
      <c r="H11" s="1486"/>
      <c r="I11" s="1486"/>
      <c r="J11" s="1486"/>
      <c r="K11" s="1486"/>
      <c r="L11" s="1486"/>
      <c r="M11" s="1486"/>
      <c r="N11" s="1486"/>
      <c r="O11" s="1486"/>
      <c r="P11" s="1486"/>
      <c r="Q11" s="1486"/>
      <c r="R11" s="1486"/>
      <c r="S11" s="1486"/>
    </row>
    <row r="12" spans="1:22">
      <c r="A12" s="2595">
        <f>'数据-取费表'!AN12</f>
        <v>0</v>
      </c>
      <c r="B12" s="2593" t="e">
        <f ca="1">IF(F12="是",'数据-取费表'!AO12,0)</f>
        <v>#REF!</v>
      </c>
      <c r="C12" s="1869" t="s">
        <v>1649</v>
      </c>
      <c r="D12" s="2700"/>
      <c r="E12" s="2597">
        <f>IF(OR(A12=0,F12="否"),0,'数据-取费表'!K12+'数据-取费表'!S12)</f>
        <v>0</v>
      </c>
      <c r="F12" s="1873" t="s">
        <v>1655</v>
      </c>
      <c r="G12" s="1486"/>
      <c r="H12" s="1486"/>
      <c r="I12" s="1486"/>
      <c r="J12" s="1486"/>
      <c r="K12" s="1486"/>
      <c r="L12" s="1486"/>
      <c r="M12" s="1486"/>
      <c r="N12" s="1486"/>
      <c r="O12" s="1486"/>
      <c r="P12" s="1486"/>
      <c r="Q12" s="1486"/>
      <c r="R12" s="1486"/>
      <c r="S12" s="1486"/>
    </row>
    <row r="13" spans="1:22" ht="15" thickBot="1">
      <c r="A13" s="2596">
        <f>'数据-取费表'!AN13</f>
        <v>0</v>
      </c>
      <c r="B13" s="2593" t="e">
        <f ca="1">IF(F13="是",'数据-取费表'!AO13,0)</f>
        <v>#REF!</v>
      </c>
      <c r="C13" s="1874" t="s">
        <v>1649</v>
      </c>
      <c r="D13" s="2701"/>
      <c r="E13" s="2597">
        <f>IF(OR(A13=0,F13="否"),0,'数据-取费表'!K13+'数据-取费表'!S13)</f>
        <v>0</v>
      </c>
      <c r="F13" s="1873" t="s">
        <v>1655</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0" zoomScaleNormal="60" zoomScaleSheetLayoutView="80" workbookViewId="0">
      <selection activeCell="M47" sqref="M4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1659</v>
      </c>
      <c r="C1" s="1235" t="s">
        <v>1660</v>
      </c>
      <c r="D1" s="1222" t="s">
        <v>3403</v>
      </c>
      <c r="E1" s="3417" t="s">
        <v>3879</v>
      </c>
      <c r="F1" s="1876" t="s">
        <v>3852</v>
      </c>
      <c r="G1" s="1232" t="s">
        <v>1661</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18">
        <f>IF(E1="项目模式",IF(C2="——",ROUND(C49*D3/10000,0),ROUND(C49*D3/10000,0)-D2),IF(E1="单套模式",IF(C2="——",ROUND(C49*D3/10000,4),ROUND(C49*D3/10000,4)-D2)))</f>
        <v>742683</v>
      </c>
      <c r="C2" s="1878" t="s">
        <v>43</v>
      </c>
      <c r="D2" s="1113" t="e">
        <f ca="1">IF(E1="项目模式",SUMIF(INDIRECT("'"&amp;F2&amp;"'"&amp;"!A:A"),"承租人权益价值",INDIRECT("'"&amp;F2&amp;"'"&amp;"!c:c")),SUMIF(INDIRECT("'"&amp;F2&amp;"'"&amp;"!A:A"),"承租人权益价值（单套）",INDIRECT("'"&amp;F2&amp;"'"&amp;"!c:c")))</f>
        <v>#REF!</v>
      </c>
      <c r="E2" s="1879" t="s">
        <v>1662</v>
      </c>
      <c r="F2" s="1880"/>
      <c r="G2" s="905"/>
      <c r="H2" s="905"/>
      <c r="I2" s="905"/>
      <c r="J2" s="905"/>
      <c r="K2" s="1881"/>
      <c r="L2" s="2704"/>
      <c r="M2" s="2705"/>
      <c r="N2" s="2705"/>
      <c r="O2" s="2705"/>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119223</v>
      </c>
      <c r="C3" s="354" t="s">
        <v>1663</v>
      </c>
      <c r="D3" s="353">
        <f>IF(D1="",'数据-汇总表'!E3,SUMIF('数据-汇总表'!$C19:$C33,D1,'数据-汇总表'!$E19:$E33))</f>
        <v>62293.630000000019</v>
      </c>
      <c r="E3" s="905"/>
      <c r="F3" s="1885"/>
      <c r="G3" s="905"/>
      <c r="H3" s="905"/>
      <c r="I3" s="905"/>
      <c r="J3" s="905"/>
      <c r="K3" s="1881"/>
      <c r="L3" s="2704"/>
      <c r="M3" s="2705"/>
      <c r="N3" s="2705"/>
      <c r="O3" s="2705"/>
      <c r="P3" s="1882"/>
      <c r="Q3" s="1883"/>
      <c r="R3" s="1883"/>
      <c r="S3" s="1883"/>
      <c r="T3" s="1883"/>
      <c r="U3" s="1883"/>
      <c r="V3" s="1883"/>
      <c r="W3" s="1883"/>
      <c r="X3" s="1883"/>
      <c r="Y3" s="1883"/>
      <c r="Z3" s="1883"/>
      <c r="AA3" s="1883"/>
      <c r="AB3" s="1883"/>
      <c r="AC3" s="1059"/>
    </row>
    <row r="4" spans="1:29" ht="15">
      <c r="A4" s="355" t="s">
        <v>1664</v>
      </c>
      <c r="B4" s="356"/>
      <c r="C4" s="3663" t="s">
        <v>1665</v>
      </c>
      <c r="D4" s="3675"/>
      <c r="E4" s="3676" t="s">
        <v>1666</v>
      </c>
      <c r="F4" s="3677"/>
      <c r="G4" s="3663" t="s">
        <v>1667</v>
      </c>
      <c r="H4" s="3675"/>
      <c r="I4" s="3663" t="s">
        <v>1668</v>
      </c>
      <c r="J4" s="3675"/>
      <c r="K4" s="1886" t="s">
        <v>1669</v>
      </c>
      <c r="L4" s="2706"/>
      <c r="M4" s="2707"/>
      <c r="N4" s="2707"/>
      <c r="O4" s="2707"/>
      <c r="P4" s="3678" t="s">
        <v>1670</v>
      </c>
      <c r="Q4" s="3679"/>
      <c r="R4" s="3684" t="s">
        <v>1666</v>
      </c>
      <c r="S4" s="3685"/>
      <c r="T4" s="3684" t="s">
        <v>1667</v>
      </c>
      <c r="U4" s="3685"/>
      <c r="V4" s="3671" t="s">
        <v>1668</v>
      </c>
      <c r="W4" s="3671"/>
      <c r="X4" s="1352"/>
      <c r="Y4" s="3684" t="s">
        <v>1670</v>
      </c>
      <c r="Z4" s="3685"/>
      <c r="AA4" s="3672" t="s">
        <v>1666</v>
      </c>
      <c r="AB4" s="3672" t="s">
        <v>1667</v>
      </c>
      <c r="AC4" s="3672" t="s">
        <v>1668</v>
      </c>
    </row>
    <row r="5" spans="1:29" ht="15">
      <c r="A5" s="358"/>
      <c r="B5" s="359"/>
      <c r="C5" s="3735" t="s">
        <v>3854</v>
      </c>
      <c r="D5" s="3693"/>
      <c r="E5" s="3699" t="str">
        <f>住宅售价!A2</f>
        <v>香山樾</v>
      </c>
      <c r="F5" s="3700"/>
      <c r="G5" s="3692" t="str">
        <f>住宅售价!A3</f>
        <v>印香山</v>
      </c>
      <c r="H5" s="3693"/>
      <c r="I5" s="3692" t="str">
        <f>住宅售价!A4</f>
        <v>融创香山壹号院</v>
      </c>
      <c r="J5" s="3693"/>
      <c r="K5" s="1887"/>
      <c r="L5" s="2706"/>
      <c r="M5" s="2707"/>
      <c r="N5" s="2707"/>
      <c r="O5" s="2707"/>
      <c r="P5" s="3680"/>
      <c r="Q5" s="3681"/>
      <c r="R5" s="3686"/>
      <c r="S5" s="3687"/>
      <c r="T5" s="3686"/>
      <c r="U5" s="3687"/>
      <c r="V5" s="3671"/>
      <c r="W5" s="3671"/>
      <c r="X5" s="1352"/>
      <c r="Y5" s="3686"/>
      <c r="Z5" s="3687"/>
      <c r="AA5" s="3673"/>
      <c r="AB5" s="3673"/>
      <c r="AC5" s="3673"/>
    </row>
    <row r="6" spans="1:29" ht="15.75" thickBot="1">
      <c r="A6" s="360"/>
      <c r="B6" s="361"/>
      <c r="C6" s="3690" t="s">
        <v>1675</v>
      </c>
      <c r="D6" s="3691"/>
      <c r="E6" s="3697" t="s">
        <v>1675</v>
      </c>
      <c r="F6" s="3698"/>
      <c r="G6" s="3690" t="s">
        <v>1675</v>
      </c>
      <c r="H6" s="3691"/>
      <c r="I6" s="3690" t="s">
        <v>1675</v>
      </c>
      <c r="J6" s="3691"/>
      <c r="K6" s="1887" t="s">
        <v>1676</v>
      </c>
      <c r="L6" s="2706"/>
      <c r="M6" s="2707"/>
      <c r="N6" s="2707"/>
      <c r="O6" s="2707"/>
      <c r="P6" s="3682"/>
      <c r="Q6" s="3683"/>
      <c r="R6" s="3686"/>
      <c r="S6" s="3687"/>
      <c r="T6" s="3688"/>
      <c r="U6" s="3689"/>
      <c r="V6" s="3671"/>
      <c r="W6" s="3671"/>
      <c r="X6" s="1352"/>
      <c r="Y6" s="3688"/>
      <c r="Z6" s="3689"/>
      <c r="AA6" s="3674"/>
      <c r="AB6" s="3674"/>
      <c r="AC6" s="3674"/>
    </row>
    <row r="7" spans="1:29" s="108" customFormat="1" ht="15.75" thickBot="1">
      <c r="A7" s="362" t="s">
        <v>1677</v>
      </c>
      <c r="B7" s="363"/>
      <c r="C7" s="364">
        <f>'数据-取费表'!B2</f>
        <v>45576</v>
      </c>
      <c r="D7" s="365">
        <v>100</v>
      </c>
      <c r="E7" s="366">
        <f>C7</f>
        <v>45576</v>
      </c>
      <c r="F7" s="367">
        <f>SUMIF(58:58,YEAR(E7)&amp;"-"&amp;MONTH(E7),59:59)</f>
        <v>100</v>
      </c>
      <c r="G7" s="366">
        <f>E7</f>
        <v>45576</v>
      </c>
      <c r="H7" s="365">
        <f>SUMIF(58:58,YEAR(G7)&amp;"-"&amp;MONTH(G7),59:59)</f>
        <v>100</v>
      </c>
      <c r="I7" s="366">
        <f>G7</f>
        <v>45576</v>
      </c>
      <c r="J7" s="365">
        <f>SUMIF(58:58,YEAR(I7)&amp;"-"&amp;MONTH(I7),59:59)</f>
        <v>100</v>
      </c>
      <c r="K7" s="1888"/>
      <c r="L7" s="2708"/>
      <c r="M7" s="2709"/>
      <c r="N7" s="2709"/>
      <c r="O7" s="2709"/>
      <c r="P7" s="3694" t="s">
        <v>1678</v>
      </c>
      <c r="Q7" s="3696"/>
      <c r="R7" s="699" t="s">
        <v>20</v>
      </c>
      <c r="S7" s="700">
        <f t="shared" ref="S7:S15" si="0">F7</f>
        <v>100</v>
      </c>
      <c r="T7" s="699" t="s">
        <v>20</v>
      </c>
      <c r="U7" s="700">
        <f t="shared" ref="U7:U15" si="1">H7</f>
        <v>100</v>
      </c>
      <c r="V7" s="699" t="s">
        <v>20</v>
      </c>
      <c r="W7" s="700">
        <f t="shared" ref="W7:W15" si="2">J7</f>
        <v>100</v>
      </c>
      <c r="X7" s="701"/>
      <c r="Y7" s="3694" t="s">
        <v>1678</v>
      </c>
      <c r="Z7" s="3695"/>
      <c r="AA7" s="702">
        <f>D7/F7</f>
        <v>1</v>
      </c>
      <c r="AB7" s="702">
        <f>D7/H7</f>
        <v>1</v>
      </c>
      <c r="AC7" s="702">
        <f>D7/J7</f>
        <v>1</v>
      </c>
    </row>
    <row r="8" spans="1:29" s="108" customFormat="1" ht="15.75" thickBot="1">
      <c r="A8" s="362" t="s">
        <v>1679</v>
      </c>
      <c r="B8" s="363"/>
      <c r="C8" s="368" t="s">
        <v>3510</v>
      </c>
      <c r="D8" s="365">
        <v>100</v>
      </c>
      <c r="E8" s="368" t="s">
        <v>3510</v>
      </c>
      <c r="F8" s="367">
        <f>SUMIF(61:61,E8,62:62)-SUMIF(61:61,C8,62:62)+100</f>
        <v>100</v>
      </c>
      <c r="G8" s="368" t="s">
        <v>3510</v>
      </c>
      <c r="H8" s="365">
        <f>SUMIF(61:61,G8,62:62)-SUMIF(61:61,C8,62:62)+100</f>
        <v>100</v>
      </c>
      <c r="I8" s="368" t="s">
        <v>3510</v>
      </c>
      <c r="J8" s="365">
        <f>SUMIF(61:61,I8,62:62)-SUMIF(61:61,C8,62:62)+100</f>
        <v>100</v>
      </c>
      <c r="K8" s="1888"/>
      <c r="L8" s="2708"/>
      <c r="M8" s="2709"/>
      <c r="N8" s="2709"/>
      <c r="O8" s="2709"/>
      <c r="P8" s="3694" t="s">
        <v>1681</v>
      </c>
      <c r="Q8" s="3695"/>
      <c r="R8" s="699" t="s">
        <v>20</v>
      </c>
      <c r="S8" s="700">
        <f t="shared" si="0"/>
        <v>100</v>
      </c>
      <c r="T8" s="699" t="s">
        <v>20</v>
      </c>
      <c r="U8" s="700">
        <f t="shared" si="1"/>
        <v>100</v>
      </c>
      <c r="V8" s="699" t="s">
        <v>20</v>
      </c>
      <c r="W8" s="700">
        <f t="shared" si="2"/>
        <v>100</v>
      </c>
      <c r="X8" s="701"/>
      <c r="Y8" s="3694" t="s">
        <v>1681</v>
      </c>
      <c r="Z8" s="3695"/>
      <c r="AA8" s="702">
        <f t="shared" ref="AA8:AA19" si="3">D8/F8</f>
        <v>1</v>
      </c>
      <c r="AB8" s="702">
        <f t="shared" ref="AB8:AB19" si="4">D8/H8</f>
        <v>1</v>
      </c>
      <c r="AC8" s="702">
        <f t="shared" ref="AC8:AC19" si="5">D8/J8</f>
        <v>1</v>
      </c>
    </row>
    <row r="9" spans="1:29" s="108" customFormat="1">
      <c r="A9" s="369" t="s">
        <v>1682</v>
      </c>
      <c r="B9" s="63" t="s">
        <v>1683</v>
      </c>
      <c r="C9" s="3465" t="s">
        <v>3855</v>
      </c>
      <c r="D9" s="126">
        <v>100</v>
      </c>
      <c r="E9" s="371" t="s">
        <v>3403</v>
      </c>
      <c r="F9" s="372">
        <f>SUMIF(63:63,E9,64:64)-SUMIF(63:63,C9,64:64)+100</f>
        <v>100</v>
      </c>
      <c r="G9" s="371" t="s">
        <v>3403</v>
      </c>
      <c r="H9" s="126">
        <f>SUMIF(63:63,G9,64:64)-SUMIF(63:63,C9,64:64)+100</f>
        <v>100</v>
      </c>
      <c r="I9" s="371" t="s">
        <v>3403</v>
      </c>
      <c r="J9" s="126">
        <f>SUMIF(63:63,I9,64:64)-SUMIF(63:63,C9,64:64)+100</f>
        <v>100</v>
      </c>
      <c r="K9" s="1888"/>
      <c r="L9" s="2708"/>
      <c r="M9" s="2709"/>
      <c r="N9" s="2709"/>
      <c r="O9" s="2709"/>
      <c r="P9" s="3665" t="s">
        <v>1684</v>
      </c>
      <c r="Q9" s="1340" t="str">
        <f t="shared" ref="Q9:Q15" si="6">B9</f>
        <v>用途</v>
      </c>
      <c r="R9" s="699" t="s">
        <v>14</v>
      </c>
      <c r="S9" s="700">
        <f t="shared" si="0"/>
        <v>100</v>
      </c>
      <c r="T9" s="699" t="s">
        <v>14</v>
      </c>
      <c r="U9" s="700">
        <f t="shared" si="1"/>
        <v>100</v>
      </c>
      <c r="V9" s="699" t="s">
        <v>14</v>
      </c>
      <c r="W9" s="700">
        <f t="shared" si="2"/>
        <v>100</v>
      </c>
      <c r="X9" s="701"/>
      <c r="Y9" s="3563" t="s">
        <v>1685</v>
      </c>
      <c r="Z9" s="52" t="str">
        <f t="shared" ref="Z9:Z15" si="7">Q9</f>
        <v>用途</v>
      </c>
      <c r="AA9" s="702">
        <f t="shared" si="3"/>
        <v>1</v>
      </c>
      <c r="AB9" s="702">
        <f t="shared" si="4"/>
        <v>1</v>
      </c>
      <c r="AC9" s="702">
        <f t="shared" si="5"/>
        <v>1</v>
      </c>
    </row>
    <row r="10" spans="1:29" s="378" customFormat="1" ht="27">
      <c r="A10" s="374"/>
      <c r="B10" s="375" t="s">
        <v>1686</v>
      </c>
      <c r="C10" s="3425"/>
      <c r="D10" s="127">
        <v>100</v>
      </c>
      <c r="E10" s="3426"/>
      <c r="F10" s="376">
        <f>SUMIF(65:65,E10,66:66)-SUMIF(65:65,C10,66:66)+100</f>
        <v>100</v>
      </c>
      <c r="G10" s="3425"/>
      <c r="H10" s="127">
        <f>SUMIF(65:65,G10,66:66)-SUMIF(65:65,C10,66:66)+100</f>
        <v>100</v>
      </c>
      <c r="I10" s="3425"/>
      <c r="J10" s="127">
        <f>SUMIF(65:65,I10,66:66)-SUMIF(65:65,C10,66:66)+100</f>
        <v>100</v>
      </c>
      <c r="K10" s="1888"/>
      <c r="L10" s="2710"/>
      <c r="M10" s="2711"/>
      <c r="N10" s="2711"/>
      <c r="O10" s="2711"/>
      <c r="P10" s="3665"/>
      <c r="Q10" s="1340"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702">
        <f t="shared" si="5"/>
        <v>1</v>
      </c>
    </row>
    <row r="11" spans="1:29" ht="15.75" thickBot="1">
      <c r="A11" s="379"/>
      <c r="B11" s="375" t="s">
        <v>1687</v>
      </c>
      <c r="C11" s="380">
        <v>1.05</v>
      </c>
      <c r="D11" s="127">
        <v>100</v>
      </c>
      <c r="E11" s="381">
        <v>1.05</v>
      </c>
      <c r="F11" s="376">
        <f>LOOKUP(E11,68:68,69:69)-LOOKUP(C11,68:68,69:69)+100</f>
        <v>100</v>
      </c>
      <c r="G11" s="380">
        <v>1.05</v>
      </c>
      <c r="H11" s="127">
        <f>LOOKUP(G11,68:68,69:69)-LOOKUP(C11,68:68,69:69)+100</f>
        <v>100</v>
      </c>
      <c r="I11" s="380">
        <v>1.5</v>
      </c>
      <c r="J11" s="127">
        <f>LOOKUP(I11,68:68,69:69)-LOOKUP(C11,68:68,69:69)+100</f>
        <v>96</v>
      </c>
      <c r="K11" s="377">
        <v>2</v>
      </c>
      <c r="L11" s="2712"/>
      <c r="M11" s="2707"/>
      <c r="N11" s="2707"/>
      <c r="O11" s="2707"/>
      <c r="P11" s="3665"/>
      <c r="Q11" s="1340" t="str">
        <f t="shared" si="6"/>
        <v>容积率</v>
      </c>
      <c r="R11" s="699" t="s">
        <v>18</v>
      </c>
      <c r="S11" s="700">
        <f t="shared" si="0"/>
        <v>100</v>
      </c>
      <c r="T11" s="699" t="s">
        <v>18</v>
      </c>
      <c r="U11" s="700">
        <f t="shared" si="1"/>
        <v>100</v>
      </c>
      <c r="V11" s="699" t="s">
        <v>18</v>
      </c>
      <c r="W11" s="700">
        <f t="shared" si="2"/>
        <v>96</v>
      </c>
      <c r="X11" s="701"/>
      <c r="Y11" s="3563"/>
      <c r="Z11" s="52" t="str">
        <f t="shared" si="7"/>
        <v>容积率</v>
      </c>
      <c r="AA11" s="702">
        <f t="shared" si="3"/>
        <v>1</v>
      </c>
      <c r="AB11" s="702">
        <f t="shared" si="4"/>
        <v>1</v>
      </c>
      <c r="AC11" s="702">
        <f t="shared" si="5"/>
        <v>1.0416666666666667</v>
      </c>
    </row>
    <row r="12" spans="1:29" s="108" customFormat="1" ht="15" hidden="1">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8"/>
      <c r="M12" s="2709"/>
      <c r="N12" s="2709"/>
      <c r="O12" s="2709"/>
      <c r="P12" s="3665"/>
      <c r="Q12" s="1340">
        <f t="shared" si="6"/>
        <v>111</v>
      </c>
      <c r="R12" s="699" t="s">
        <v>18</v>
      </c>
      <c r="S12" s="700">
        <f t="shared" si="0"/>
        <v>100</v>
      </c>
      <c r="T12" s="699" t="s">
        <v>18</v>
      </c>
      <c r="U12" s="700">
        <f t="shared" si="1"/>
        <v>100</v>
      </c>
      <c r="V12" s="699" t="s">
        <v>18</v>
      </c>
      <c r="W12" s="700">
        <f t="shared" si="2"/>
        <v>100</v>
      </c>
      <c r="X12" s="701"/>
      <c r="Y12" s="3563"/>
      <c r="Z12" s="52">
        <f t="shared" si="7"/>
        <v>111</v>
      </c>
      <c r="AA12" s="702">
        <f>D12/F12</f>
        <v>1</v>
      </c>
      <c r="AB12" s="702">
        <f>D12/H12</f>
        <v>1</v>
      </c>
      <c r="AC12" s="702">
        <f>D12/J12</f>
        <v>1</v>
      </c>
    </row>
    <row r="13" spans="1:29" ht="15" hidden="1">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3"/>
      <c r="M13" s="2707"/>
      <c r="N13" s="2707"/>
      <c r="O13" s="2707"/>
      <c r="P13" s="3665"/>
      <c r="Q13" s="1340">
        <f t="shared" si="6"/>
        <v>111</v>
      </c>
      <c r="R13" s="699" t="s">
        <v>18</v>
      </c>
      <c r="S13" s="700">
        <f t="shared" si="0"/>
        <v>100</v>
      </c>
      <c r="T13" s="699" t="s">
        <v>18</v>
      </c>
      <c r="U13" s="700">
        <f t="shared" si="1"/>
        <v>100</v>
      </c>
      <c r="V13" s="699" t="s">
        <v>18</v>
      </c>
      <c r="W13" s="700">
        <f t="shared" si="2"/>
        <v>100</v>
      </c>
      <c r="X13" s="701"/>
      <c r="Y13" s="3563"/>
      <c r="Z13" s="52">
        <f t="shared" si="7"/>
        <v>111</v>
      </c>
      <c r="AA13" s="702">
        <f t="shared" si="3"/>
        <v>1</v>
      </c>
      <c r="AB13" s="702">
        <f t="shared" si="4"/>
        <v>1</v>
      </c>
      <c r="AC13" s="702">
        <f t="shared" si="5"/>
        <v>1</v>
      </c>
    </row>
    <row r="14" spans="1:29" ht="15.75" hidden="1"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3"/>
      <c r="M14" s="2707"/>
      <c r="N14" s="2707"/>
      <c r="O14" s="2707"/>
      <c r="P14" s="3665"/>
      <c r="Q14" s="1340">
        <f t="shared" si="6"/>
        <v>111</v>
      </c>
      <c r="R14" s="699" t="s">
        <v>18</v>
      </c>
      <c r="S14" s="700">
        <f t="shared" si="0"/>
        <v>100</v>
      </c>
      <c r="T14" s="699" t="s">
        <v>18</v>
      </c>
      <c r="U14" s="700">
        <f t="shared" si="1"/>
        <v>100</v>
      </c>
      <c r="V14" s="699" t="s">
        <v>18</v>
      </c>
      <c r="W14" s="700">
        <f t="shared" si="2"/>
        <v>100</v>
      </c>
      <c r="X14" s="701"/>
      <c r="Y14" s="3563"/>
      <c r="Z14" s="52">
        <f t="shared" si="7"/>
        <v>111</v>
      </c>
      <c r="AA14" s="702">
        <f t="shared" si="3"/>
        <v>1</v>
      </c>
      <c r="AB14" s="702">
        <f t="shared" si="4"/>
        <v>1</v>
      </c>
      <c r="AC14" s="702">
        <f t="shared" si="5"/>
        <v>1</v>
      </c>
    </row>
    <row r="15" spans="1:29" ht="15">
      <c r="A15" s="391" t="s">
        <v>1688</v>
      </c>
      <c r="B15" s="61" t="s">
        <v>1255</v>
      </c>
      <c r="C15" s="1892" t="str">
        <f>估价对象房地状况!C3</f>
        <v>较好</v>
      </c>
      <c r="D15" s="392">
        <v>100</v>
      </c>
      <c r="E15" s="395" t="s">
        <v>3501</v>
      </c>
      <c r="F15" s="392">
        <f>SUMIF(76:76,E16,77:77)-SUMIF(76:76,C16,77:77)+100</f>
        <v>100</v>
      </c>
      <c r="G15" s="395" t="s">
        <v>3501</v>
      </c>
      <c r="H15" s="392">
        <f>SUMIF(76:76,G16,77:77)-SUMIF(76:76,C16,77:77)+100</f>
        <v>100</v>
      </c>
      <c r="I15" s="395" t="s">
        <v>3501</v>
      </c>
      <c r="J15" s="392">
        <f>SUMIF(76:76,I16,77:77)-SUMIF(76:76,C16,77:77)+100</f>
        <v>100</v>
      </c>
      <c r="K15" s="396">
        <v>2</v>
      </c>
      <c r="L15" s="2713"/>
      <c r="M15" s="2707"/>
      <c r="N15" s="2707"/>
      <c r="O15" s="2707"/>
      <c r="P15" s="3733" t="s">
        <v>1689</v>
      </c>
      <c r="Q15" s="1349" t="str">
        <f t="shared" si="6"/>
        <v>居住社区成熟度</v>
      </c>
      <c r="R15" s="703" t="s">
        <v>18</v>
      </c>
      <c r="S15" s="704">
        <f t="shared" si="0"/>
        <v>100</v>
      </c>
      <c r="T15" s="703" t="s">
        <v>18</v>
      </c>
      <c r="U15" s="704">
        <f t="shared" si="1"/>
        <v>100</v>
      </c>
      <c r="V15" s="703" t="s">
        <v>18</v>
      </c>
      <c r="W15" s="704">
        <f t="shared" si="2"/>
        <v>100</v>
      </c>
      <c r="X15" s="1352"/>
      <c r="Y15" s="3667" t="s">
        <v>1689</v>
      </c>
      <c r="Z15" s="1353" t="str">
        <f t="shared" si="7"/>
        <v>居住社区成熟度</v>
      </c>
      <c r="AA15" s="1350">
        <f t="shared" si="3"/>
        <v>1</v>
      </c>
      <c r="AB15" s="1350">
        <f t="shared" si="4"/>
        <v>1</v>
      </c>
      <c r="AC15" s="1350">
        <f t="shared" si="5"/>
        <v>1</v>
      </c>
    </row>
    <row r="16" spans="1:29" ht="15">
      <c r="A16" s="379"/>
      <c r="B16" s="397"/>
      <c r="C16" s="398" t="s">
        <v>3501</v>
      </c>
      <c r="D16" s="399"/>
      <c r="E16" s="1893" t="s">
        <v>3501</v>
      </c>
      <c r="F16" s="399"/>
      <c r="G16" s="1893" t="s">
        <v>3501</v>
      </c>
      <c r="H16" s="401"/>
      <c r="I16" s="1893" t="s">
        <v>3501</v>
      </c>
      <c r="J16" s="399"/>
      <c r="K16" s="1895"/>
      <c r="L16" s="2713"/>
      <c r="M16" s="2707"/>
      <c r="N16" s="2707"/>
      <c r="O16" s="2707"/>
      <c r="P16" s="3734"/>
      <c r="Q16" s="1349"/>
      <c r="R16" s="703"/>
      <c r="S16" s="704"/>
      <c r="T16" s="703"/>
      <c r="U16" s="704"/>
      <c r="V16" s="703"/>
      <c r="W16" s="704"/>
      <c r="X16" s="1352"/>
      <c r="Y16" s="3668"/>
      <c r="Z16" s="1353"/>
      <c r="AA16" s="1350">
        <v>1</v>
      </c>
      <c r="AB16" s="1350">
        <v>1</v>
      </c>
      <c r="AC16" s="1350">
        <v>1</v>
      </c>
    </row>
    <row r="17" spans="1:29" ht="15">
      <c r="A17" s="379"/>
      <c r="B17" s="402" t="s">
        <v>1257</v>
      </c>
      <c r="C17" s="1896" t="str">
        <f>估价对象房地状况!C6</f>
        <v>一般</v>
      </c>
      <c r="D17" s="401">
        <v>100</v>
      </c>
      <c r="E17" s="405" t="s">
        <v>3503</v>
      </c>
      <c r="F17" s="401">
        <f>SUMIF(78:78,E18,79:79)-SUMIF(78:78,C18,79:79)+100</f>
        <v>100</v>
      </c>
      <c r="G17" s="405" t="s">
        <v>3503</v>
      </c>
      <c r="H17" s="406">
        <f>SUMIF(78:78,G18,79:79)-SUMIF(78:78,C18,79:79)+100</f>
        <v>100</v>
      </c>
      <c r="I17" s="405" t="s">
        <v>3503</v>
      </c>
      <c r="J17" s="406">
        <f>SUMIF(78:78,I18,79:79)-SUMIF(78:78,C18,79:79)+100</f>
        <v>100</v>
      </c>
      <c r="K17" s="396">
        <v>2</v>
      </c>
      <c r="L17" s="2713"/>
      <c r="M17" s="2707"/>
      <c r="N17" s="2707"/>
      <c r="O17" s="2707"/>
      <c r="P17" s="3734"/>
      <c r="Q17" s="1349" t="str">
        <f>B17</f>
        <v>交通便捷度</v>
      </c>
      <c r="R17" s="703" t="s">
        <v>18</v>
      </c>
      <c r="S17" s="704">
        <f>F17</f>
        <v>100</v>
      </c>
      <c r="T17" s="703" t="s">
        <v>18</v>
      </c>
      <c r="U17" s="704">
        <f>H17</f>
        <v>100</v>
      </c>
      <c r="V17" s="703" t="s">
        <v>18</v>
      </c>
      <c r="W17" s="704">
        <f>J17</f>
        <v>100</v>
      </c>
      <c r="X17" s="1352"/>
      <c r="Y17" s="3668"/>
      <c r="Z17" s="1353" t="str">
        <f>Q17</f>
        <v>交通便捷度</v>
      </c>
      <c r="AA17" s="1350">
        <f t="shared" si="3"/>
        <v>1</v>
      </c>
      <c r="AB17" s="1350">
        <f t="shared" si="4"/>
        <v>1</v>
      </c>
      <c r="AC17" s="1350">
        <f t="shared" si="5"/>
        <v>1</v>
      </c>
    </row>
    <row r="18" spans="1:29" ht="15">
      <c r="A18" s="379"/>
      <c r="B18" s="407"/>
      <c r="C18" s="1897" t="s">
        <v>3503</v>
      </c>
      <c r="D18" s="401"/>
      <c r="E18" s="1898" t="s">
        <v>3503</v>
      </c>
      <c r="F18" s="401"/>
      <c r="G18" s="1898" t="s">
        <v>3503</v>
      </c>
      <c r="H18" s="399"/>
      <c r="I18" s="1898" t="s">
        <v>3503</v>
      </c>
      <c r="J18" s="399"/>
      <c r="K18" s="1895"/>
      <c r="L18" s="2713"/>
      <c r="M18" s="2707"/>
      <c r="N18" s="2707"/>
      <c r="O18" s="2707"/>
      <c r="P18" s="3734"/>
      <c r="Q18" s="1349"/>
      <c r="R18" s="703"/>
      <c r="S18" s="704"/>
      <c r="T18" s="703"/>
      <c r="U18" s="704"/>
      <c r="V18" s="703"/>
      <c r="W18" s="704"/>
      <c r="X18" s="1352"/>
      <c r="Y18" s="3668"/>
      <c r="Z18" s="1353"/>
      <c r="AA18" s="1350">
        <v>1</v>
      </c>
      <c r="AB18" s="1350">
        <v>1</v>
      </c>
      <c r="AC18" s="1350">
        <v>1</v>
      </c>
    </row>
    <row r="19" spans="1:29" ht="15">
      <c r="A19" s="379"/>
      <c r="B19" s="402" t="s">
        <v>1256</v>
      </c>
      <c r="C19" s="1896" t="str">
        <f>估价对象房地状况!C7</f>
        <v>一般</v>
      </c>
      <c r="D19" s="406">
        <v>100</v>
      </c>
      <c r="E19" s="410" t="s">
        <v>3503</v>
      </c>
      <c r="F19" s="406">
        <f>SUMIF(80:80,E20,81:81)-SUMIF(80:80,C20,81:81)+100</f>
        <v>100</v>
      </c>
      <c r="G19" s="410" t="s">
        <v>3503</v>
      </c>
      <c r="H19" s="401">
        <f>SUMIF(80:80,G20,81:81)-SUMIF(80:80,C20,81:81)+100</f>
        <v>100</v>
      </c>
      <c r="I19" s="410" t="s">
        <v>3503</v>
      </c>
      <c r="J19" s="401">
        <f>SUMIF(80:80,I20,81:81)-SUMIF(80:80,C20,81:81)+100</f>
        <v>100</v>
      </c>
      <c r="K19" s="396">
        <v>2</v>
      </c>
      <c r="L19" s="2713"/>
      <c r="M19" s="2707"/>
      <c r="N19" s="2707"/>
      <c r="O19" s="2707"/>
      <c r="P19" s="3734"/>
      <c r="Q19" s="1349" t="str">
        <f>B19</f>
        <v>公共配套设施</v>
      </c>
      <c r="R19" s="703" t="s">
        <v>18</v>
      </c>
      <c r="S19" s="704">
        <f>F19</f>
        <v>100</v>
      </c>
      <c r="T19" s="703" t="s">
        <v>18</v>
      </c>
      <c r="U19" s="704">
        <f>H19</f>
        <v>100</v>
      </c>
      <c r="V19" s="703" t="s">
        <v>18</v>
      </c>
      <c r="W19" s="704">
        <f>J19</f>
        <v>100</v>
      </c>
      <c r="X19" s="1352"/>
      <c r="Y19" s="3668"/>
      <c r="Z19" s="1353" t="str">
        <f>Q19</f>
        <v>公共配套设施</v>
      </c>
      <c r="AA19" s="1350">
        <f t="shared" si="3"/>
        <v>1</v>
      </c>
      <c r="AB19" s="1350">
        <f t="shared" si="4"/>
        <v>1</v>
      </c>
      <c r="AC19" s="1350">
        <f t="shared" si="5"/>
        <v>1</v>
      </c>
    </row>
    <row r="20" spans="1:29" ht="15">
      <c r="A20" s="379"/>
      <c r="B20" s="407"/>
      <c r="C20" s="398" t="s">
        <v>3503</v>
      </c>
      <c r="D20" s="399"/>
      <c r="E20" s="1893" t="s">
        <v>3503</v>
      </c>
      <c r="F20" s="399"/>
      <c r="G20" s="1893" t="s">
        <v>3503</v>
      </c>
      <c r="H20" s="399"/>
      <c r="I20" s="1893" t="s">
        <v>3503</v>
      </c>
      <c r="J20" s="399"/>
      <c r="K20" s="1895"/>
      <c r="L20" s="2713"/>
      <c r="M20" s="2707"/>
      <c r="N20" s="2707"/>
      <c r="O20" s="2707"/>
      <c r="P20" s="3734"/>
      <c r="Q20" s="1349"/>
      <c r="R20" s="703"/>
      <c r="S20" s="704"/>
      <c r="T20" s="703"/>
      <c r="U20" s="704"/>
      <c r="V20" s="703"/>
      <c r="W20" s="704"/>
      <c r="X20" s="1352"/>
      <c r="Y20" s="3668"/>
      <c r="Z20" s="1353"/>
      <c r="AA20" s="1350">
        <v>1</v>
      </c>
      <c r="AB20" s="1350">
        <v>1</v>
      </c>
      <c r="AC20" s="1350">
        <v>1</v>
      </c>
    </row>
    <row r="21" spans="1:29" ht="15">
      <c r="A21" s="379"/>
      <c r="B21" s="1129" t="s">
        <v>1258</v>
      </c>
      <c r="C21" s="1896" t="str">
        <f>估价对象房地状况!C8</f>
        <v>六通</v>
      </c>
      <c r="D21" s="401">
        <v>100</v>
      </c>
      <c r="E21" s="410" t="s">
        <v>3507</v>
      </c>
      <c r="F21" s="406">
        <f>SUMIF(82:82,E22,83:83)-SUMIF(82:82,C22,83:83)+100</f>
        <v>100</v>
      </c>
      <c r="G21" s="410" t="s">
        <v>3507</v>
      </c>
      <c r="H21" s="401">
        <f>SUMIF(82:82,G22,83:83)-SUMIF(82:82,C22,83:83)+100</f>
        <v>100</v>
      </c>
      <c r="I21" s="3466" t="s">
        <v>3856</v>
      </c>
      <c r="J21" s="401">
        <f>SUMIF(82:82,I22,83:83)-SUMIF(82:82,C22,83:83)+100</f>
        <v>101</v>
      </c>
      <c r="K21" s="396">
        <v>1</v>
      </c>
      <c r="L21" s="2713"/>
      <c r="M21" s="2707"/>
      <c r="N21" s="2707"/>
      <c r="O21" s="2707"/>
      <c r="P21" s="3734"/>
      <c r="Q21" s="1349" t="str">
        <f>B21</f>
        <v>基础设施水平</v>
      </c>
      <c r="R21" s="703" t="s">
        <v>14</v>
      </c>
      <c r="S21" s="704">
        <f>F21</f>
        <v>100</v>
      </c>
      <c r="T21" s="703" t="s">
        <v>14</v>
      </c>
      <c r="U21" s="704">
        <f>H21</f>
        <v>100</v>
      </c>
      <c r="V21" s="703" t="s">
        <v>14</v>
      </c>
      <c r="W21" s="704">
        <f>J21</f>
        <v>101</v>
      </c>
      <c r="X21" s="1352"/>
      <c r="Y21" s="3668"/>
      <c r="Z21" s="1353" t="str">
        <f>Q21</f>
        <v>基础设施水平</v>
      </c>
      <c r="AA21" s="1350">
        <f t="shared" ref="AA21" si="8">D21/F21</f>
        <v>1</v>
      </c>
      <c r="AB21" s="1350">
        <f t="shared" ref="AB21" si="9">D21/H21</f>
        <v>1</v>
      </c>
      <c r="AC21" s="1350">
        <f t="shared" ref="AC21" si="10">D21/J21</f>
        <v>0.99009900990099009</v>
      </c>
    </row>
    <row r="22" spans="1:29" ht="15">
      <c r="A22" s="379"/>
      <c r="B22" s="1129"/>
      <c r="C22" s="1897" t="s">
        <v>3507</v>
      </c>
      <c r="D22" s="399"/>
      <c r="E22" s="398" t="s">
        <v>3507</v>
      </c>
      <c r="F22" s="399"/>
      <c r="G22" s="398" t="s">
        <v>3507</v>
      </c>
      <c r="H22" s="399"/>
      <c r="I22" s="398" t="s">
        <v>3514</v>
      </c>
      <c r="J22" s="399"/>
      <c r="K22" s="1901"/>
      <c r="L22" s="2713"/>
      <c r="M22" s="2707"/>
      <c r="N22" s="2707"/>
      <c r="O22" s="2707"/>
      <c r="P22" s="3734"/>
      <c r="Q22" s="1349"/>
      <c r="R22" s="703"/>
      <c r="S22" s="704"/>
      <c r="T22" s="703"/>
      <c r="U22" s="704"/>
      <c r="V22" s="703"/>
      <c r="W22" s="704"/>
      <c r="X22" s="1352"/>
      <c r="Y22" s="3668"/>
      <c r="Z22" s="1353"/>
      <c r="AA22" s="1350">
        <v>1</v>
      </c>
      <c r="AB22" s="1350">
        <v>1</v>
      </c>
      <c r="AC22" s="1350">
        <v>1</v>
      </c>
    </row>
    <row r="23" spans="1:29" ht="15">
      <c r="A23" s="379"/>
      <c r="B23" s="402" t="s">
        <v>1259</v>
      </c>
      <c r="C23" s="1896" t="str">
        <f>估价对象房地状况!C9</f>
        <v>较好</v>
      </c>
      <c r="D23" s="401">
        <v>100</v>
      </c>
      <c r="E23" s="405" t="s">
        <v>3501</v>
      </c>
      <c r="F23" s="401">
        <f>SUMIF(84:84,E24,85:85)-SUMIF(84:84,C24,85:85)+100</f>
        <v>100</v>
      </c>
      <c r="G23" s="405" t="s">
        <v>3501</v>
      </c>
      <c r="H23" s="401">
        <f>SUMIF(84:84,G24,85:85)-SUMIF(84:84,C24,85:85)+100</f>
        <v>100</v>
      </c>
      <c r="I23" s="405" t="s">
        <v>3501</v>
      </c>
      <c r="J23" s="401">
        <f>SUMIF(84:84,I24,85:85)-SUMIF(84:84,C24,85:85)+100</f>
        <v>100</v>
      </c>
      <c r="K23" s="396">
        <v>2</v>
      </c>
      <c r="L23" s="2713"/>
      <c r="M23" s="2707"/>
      <c r="N23" s="2707"/>
      <c r="O23" s="2707"/>
      <c r="P23" s="3734"/>
      <c r="Q23" s="1349" t="str">
        <f>B23</f>
        <v>自然及人文环境</v>
      </c>
      <c r="R23" s="703" t="s">
        <v>18</v>
      </c>
      <c r="S23" s="704">
        <f>F23</f>
        <v>100</v>
      </c>
      <c r="T23" s="703" t="s">
        <v>18</v>
      </c>
      <c r="U23" s="704">
        <f>H23</f>
        <v>100</v>
      </c>
      <c r="V23" s="703" t="s">
        <v>18</v>
      </c>
      <c r="W23" s="704">
        <f>J23</f>
        <v>100</v>
      </c>
      <c r="X23" s="1352"/>
      <c r="Y23" s="3668"/>
      <c r="Z23" s="1353" t="str">
        <f>Q23</f>
        <v>自然及人文环境</v>
      </c>
      <c r="AA23" s="1350">
        <f>D23/F23</f>
        <v>1</v>
      </c>
      <c r="AB23" s="1350">
        <f>D23/H23</f>
        <v>1</v>
      </c>
      <c r="AC23" s="1350">
        <f>D23/J23</f>
        <v>1</v>
      </c>
    </row>
    <row r="24" spans="1:29" ht="15">
      <c r="A24" s="379"/>
      <c r="B24" s="407"/>
      <c r="C24" s="398" t="s">
        <v>3501</v>
      </c>
      <c r="D24" s="399"/>
      <c r="E24" s="1893" t="s">
        <v>3501</v>
      </c>
      <c r="F24" s="399"/>
      <c r="G24" s="1893" t="s">
        <v>3501</v>
      </c>
      <c r="H24" s="399"/>
      <c r="I24" s="1893" t="s">
        <v>3501</v>
      </c>
      <c r="J24" s="399"/>
      <c r="K24" s="1895"/>
      <c r="L24" s="2713"/>
      <c r="M24" s="2707"/>
      <c r="N24" s="2707"/>
      <c r="O24" s="2707"/>
      <c r="P24" s="3734"/>
      <c r="Q24" s="1349"/>
      <c r="R24" s="703"/>
      <c r="S24" s="704"/>
      <c r="T24" s="703"/>
      <c r="U24" s="704"/>
      <c r="V24" s="703"/>
      <c r="W24" s="704"/>
      <c r="X24" s="1352"/>
      <c r="Y24" s="3668"/>
      <c r="Z24" s="1353"/>
      <c r="AA24" s="1350">
        <v>1</v>
      </c>
      <c r="AB24" s="1350">
        <v>1</v>
      </c>
      <c r="AC24" s="1350">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3"/>
      <c r="M25" s="2707"/>
      <c r="N25" s="2707"/>
      <c r="O25" s="2707"/>
      <c r="P25" s="3734"/>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68"/>
      <c r="Z25" s="1353" t="str">
        <f>Q25</f>
        <v>楼层-1</v>
      </c>
      <c r="AA25" s="1350">
        <f t="shared" ref="AA25:AA46" si="15">D25/F25</f>
        <v>1</v>
      </c>
      <c r="AB25" s="1350">
        <f t="shared" ref="AB25:AB46" si="16">D25/H25</f>
        <v>1</v>
      </c>
      <c r="AC25" s="1350">
        <f t="shared" ref="AC25:AC46" si="17">D25/J25</f>
        <v>1</v>
      </c>
    </row>
    <row r="26" spans="1:29" ht="15.75" thickBot="1">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3"/>
      <c r="M26" s="2707"/>
      <c r="N26" s="2707"/>
      <c r="O26" s="2707"/>
      <c r="P26" s="3734"/>
      <c r="Q26" s="1349" t="str">
        <f t="shared" si="11"/>
        <v>朝向</v>
      </c>
      <c r="R26" s="703" t="s">
        <v>18</v>
      </c>
      <c r="S26" s="704">
        <f t="shared" si="12"/>
        <v>100</v>
      </c>
      <c r="T26" s="703" t="s">
        <v>18</v>
      </c>
      <c r="U26" s="704">
        <f t="shared" si="13"/>
        <v>100</v>
      </c>
      <c r="V26" s="703" t="s">
        <v>18</v>
      </c>
      <c r="W26" s="704">
        <f t="shared" si="14"/>
        <v>100</v>
      </c>
      <c r="X26" s="1352"/>
      <c r="Y26" s="3668"/>
      <c r="Z26" s="1353" t="str">
        <f>Q26</f>
        <v>朝向</v>
      </c>
      <c r="AA26" s="1350">
        <f t="shared" si="15"/>
        <v>1</v>
      </c>
      <c r="AB26" s="1350">
        <f t="shared" si="16"/>
        <v>1</v>
      </c>
      <c r="AC26" s="1350">
        <f t="shared" si="17"/>
        <v>1</v>
      </c>
    </row>
    <row r="27" spans="1:29" s="108" customFormat="1" ht="15" hidden="1">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0"/>
      <c r="L27" s="2708"/>
      <c r="M27" s="2709"/>
      <c r="N27" s="2709"/>
      <c r="O27" s="2709"/>
      <c r="P27" s="3734"/>
      <c r="Q27" s="1340">
        <f t="shared" si="11"/>
        <v>111</v>
      </c>
      <c r="R27" s="699" t="s">
        <v>18</v>
      </c>
      <c r="S27" s="700">
        <f t="shared" si="12"/>
        <v>100</v>
      </c>
      <c r="T27" s="699" t="s">
        <v>18</v>
      </c>
      <c r="U27" s="700">
        <f t="shared" si="13"/>
        <v>100</v>
      </c>
      <c r="V27" s="699" t="s">
        <v>18</v>
      </c>
      <c r="W27" s="700">
        <f t="shared" si="14"/>
        <v>100</v>
      </c>
      <c r="X27" s="701"/>
      <c r="Y27" s="3668"/>
      <c r="Z27" s="52">
        <f>Q27</f>
        <v>111</v>
      </c>
      <c r="AA27" s="1350">
        <f t="shared" si="15"/>
        <v>1</v>
      </c>
      <c r="AB27" s="1350">
        <f t="shared" si="16"/>
        <v>1</v>
      </c>
      <c r="AC27" s="1350">
        <f t="shared" si="17"/>
        <v>1</v>
      </c>
    </row>
    <row r="28" spans="1:29" ht="15" hidden="1">
      <c r="A28" s="379"/>
      <c r="B28" s="1131">
        <v>111</v>
      </c>
      <c r="C28" s="385"/>
      <c r="D28" s="386">
        <v>100</v>
      </c>
      <c r="E28" s="385"/>
      <c r="F28" s="386">
        <f>SUMIF(92:92,E28,93:93)-SUMIF(92:92,C28,93:93)+100</f>
        <v>100</v>
      </c>
      <c r="G28" s="1904"/>
      <c r="H28" s="386">
        <f>SUMIF(92:92,G28,93:93)-SUMIF(92:92,C28,93:93)+100</f>
        <v>100</v>
      </c>
      <c r="I28" s="385"/>
      <c r="J28" s="386">
        <f>SUMIF(92:92,I28,93:93)-SUMIF(92:92,C28,93:93)+100</f>
        <v>100</v>
      </c>
      <c r="K28" s="1890"/>
      <c r="L28" s="2713"/>
      <c r="M28" s="2707"/>
      <c r="N28" s="2707"/>
      <c r="O28" s="2707"/>
      <c r="P28" s="3734"/>
      <c r="Q28" s="1349">
        <f t="shared" si="11"/>
        <v>111</v>
      </c>
      <c r="R28" s="703" t="s">
        <v>18</v>
      </c>
      <c r="S28" s="704">
        <f t="shared" si="12"/>
        <v>100</v>
      </c>
      <c r="T28" s="703" t="s">
        <v>18</v>
      </c>
      <c r="U28" s="704">
        <f t="shared" si="13"/>
        <v>100</v>
      </c>
      <c r="V28" s="703" t="s">
        <v>18</v>
      </c>
      <c r="W28" s="704">
        <f t="shared" si="14"/>
        <v>100</v>
      </c>
      <c r="X28" s="1352"/>
      <c r="Y28" s="3668"/>
      <c r="Z28" s="1353">
        <f t="shared" ref="Z28:Z46" si="18">Q28</f>
        <v>111</v>
      </c>
      <c r="AA28" s="1350">
        <f t="shared" si="15"/>
        <v>1</v>
      </c>
      <c r="AB28" s="1350">
        <f t="shared" si="16"/>
        <v>1</v>
      </c>
      <c r="AC28" s="1350">
        <f t="shared" si="17"/>
        <v>1</v>
      </c>
    </row>
    <row r="29" spans="1:29" ht="15" hidden="1">
      <c r="A29" s="379"/>
      <c r="B29" s="1131">
        <v>111</v>
      </c>
      <c r="C29" s="385"/>
      <c r="D29" s="386">
        <v>100</v>
      </c>
      <c r="E29" s="385"/>
      <c r="F29" s="386">
        <f>SUMIF(94:94,E29,95:95)-SUMIF(94:94,C29,95:95)+100</f>
        <v>100</v>
      </c>
      <c r="G29" s="1904"/>
      <c r="H29" s="386">
        <f>SUMIF(94:94,G29,95:95)-SUMIF(94:94,C29,95:95)+100</f>
        <v>100</v>
      </c>
      <c r="I29" s="385"/>
      <c r="J29" s="386">
        <f>SUMIF(94:94,I29,95:95)-SUMIF(94:94,C29,95:95)+100</f>
        <v>100</v>
      </c>
      <c r="K29" s="1890"/>
      <c r="L29" s="2713"/>
      <c r="M29" s="2707"/>
      <c r="N29" s="2707"/>
      <c r="O29" s="2707"/>
      <c r="P29" s="3734"/>
      <c r="Q29" s="1349">
        <f t="shared" si="11"/>
        <v>111</v>
      </c>
      <c r="R29" s="703" t="s">
        <v>18</v>
      </c>
      <c r="S29" s="704">
        <f t="shared" si="12"/>
        <v>100</v>
      </c>
      <c r="T29" s="703" t="s">
        <v>18</v>
      </c>
      <c r="U29" s="704">
        <f t="shared" si="13"/>
        <v>100</v>
      </c>
      <c r="V29" s="703" t="s">
        <v>18</v>
      </c>
      <c r="W29" s="704">
        <f t="shared" si="14"/>
        <v>100</v>
      </c>
      <c r="X29" s="1352"/>
      <c r="Y29" s="3668"/>
      <c r="Z29" s="1353">
        <f t="shared" si="18"/>
        <v>111</v>
      </c>
      <c r="AA29" s="1350">
        <f t="shared" si="15"/>
        <v>1</v>
      </c>
      <c r="AB29" s="1350">
        <f t="shared" si="16"/>
        <v>1</v>
      </c>
      <c r="AC29" s="1350">
        <f t="shared" si="17"/>
        <v>1</v>
      </c>
    </row>
    <row r="30" spans="1:29" ht="15" hidden="1">
      <c r="A30" s="379"/>
      <c r="B30" s="1131">
        <v>111</v>
      </c>
      <c r="C30" s="385"/>
      <c r="D30" s="386">
        <v>100</v>
      </c>
      <c r="E30" s="385"/>
      <c r="F30" s="386">
        <f>SUMIF(96:96,E30,97:97)-SUMIF(96:96,C30,97:97)+100</f>
        <v>100</v>
      </c>
      <c r="G30" s="1904"/>
      <c r="H30" s="386">
        <f>SUMIF(96:96,G30,97:97)-SUMIF(96:96,C30,97:97)+100</f>
        <v>100</v>
      </c>
      <c r="I30" s="385"/>
      <c r="J30" s="386">
        <f>SUMIF(96:96,I30,97:97)-SUMIF(96:96,C30,97:97)+100</f>
        <v>100</v>
      </c>
      <c r="K30" s="1890"/>
      <c r="L30" s="2713"/>
      <c r="M30" s="2707"/>
      <c r="N30" s="2707"/>
      <c r="O30" s="2707"/>
      <c r="P30" s="3734"/>
      <c r="Q30" s="1349">
        <f t="shared" si="11"/>
        <v>111</v>
      </c>
      <c r="R30" s="703" t="s">
        <v>18</v>
      </c>
      <c r="S30" s="704">
        <f t="shared" si="12"/>
        <v>100</v>
      </c>
      <c r="T30" s="703" t="s">
        <v>18</v>
      </c>
      <c r="U30" s="704">
        <f t="shared" si="13"/>
        <v>100</v>
      </c>
      <c r="V30" s="703" t="s">
        <v>18</v>
      </c>
      <c r="W30" s="704">
        <f t="shared" si="14"/>
        <v>100</v>
      </c>
      <c r="X30" s="1352"/>
      <c r="Y30" s="3668"/>
      <c r="Z30" s="1353">
        <f t="shared" si="18"/>
        <v>111</v>
      </c>
      <c r="AA30" s="1350">
        <f t="shared" si="15"/>
        <v>1</v>
      </c>
      <c r="AB30" s="1350">
        <f t="shared" si="16"/>
        <v>1</v>
      </c>
      <c r="AC30" s="1350">
        <f t="shared" si="17"/>
        <v>1</v>
      </c>
    </row>
    <row r="31" spans="1:29" ht="15.75" hidden="1" thickBot="1">
      <c r="A31" s="387"/>
      <c r="B31" s="1131">
        <v>111</v>
      </c>
      <c r="C31" s="388"/>
      <c r="D31" s="389">
        <v>100</v>
      </c>
      <c r="E31" s="388"/>
      <c r="F31" s="389">
        <f>SUMIF(98:98,E31,99:99)-SUMIF(98:98,C31,99:99)+100</f>
        <v>100</v>
      </c>
      <c r="G31" s="1905"/>
      <c r="H31" s="389">
        <f>SUMIF(98:98,G31,99:99)-SUMIF(98:98,C31,99:99)+100</f>
        <v>100</v>
      </c>
      <c r="I31" s="388"/>
      <c r="J31" s="389">
        <f>SUMIF(98:98,I31,99:99)-SUMIF(98:98,C31,99:99)+100</f>
        <v>100</v>
      </c>
      <c r="K31" s="1890"/>
      <c r="L31" s="2713"/>
      <c r="M31" s="2707"/>
      <c r="N31" s="2707"/>
      <c r="O31" s="2707"/>
      <c r="P31" s="3734"/>
      <c r="Q31" s="1349">
        <f t="shared" si="11"/>
        <v>111</v>
      </c>
      <c r="R31" s="703" t="s">
        <v>18</v>
      </c>
      <c r="S31" s="704">
        <f t="shared" si="12"/>
        <v>100</v>
      </c>
      <c r="T31" s="703" t="s">
        <v>18</v>
      </c>
      <c r="U31" s="704">
        <f t="shared" si="13"/>
        <v>100</v>
      </c>
      <c r="V31" s="703" t="s">
        <v>18</v>
      </c>
      <c r="W31" s="704">
        <f t="shared" si="14"/>
        <v>100</v>
      </c>
      <c r="X31" s="1352"/>
      <c r="Y31" s="3668"/>
      <c r="Z31" s="1353">
        <f t="shared" si="18"/>
        <v>111</v>
      </c>
      <c r="AA31" s="1350">
        <f t="shared" si="15"/>
        <v>1</v>
      </c>
      <c r="AB31" s="1350">
        <f t="shared" si="16"/>
        <v>1</v>
      </c>
      <c r="AC31" s="1350">
        <f t="shared" si="17"/>
        <v>1</v>
      </c>
    </row>
    <row r="32" spans="1:29" ht="15">
      <c r="A32" s="391" t="s">
        <v>1692</v>
      </c>
      <c r="B32" s="63" t="s">
        <v>1693</v>
      </c>
      <c r="C32" s="1906" t="s">
        <v>3857</v>
      </c>
      <c r="D32" s="418">
        <v>100</v>
      </c>
      <c r="E32" s="1906" t="s">
        <v>3857</v>
      </c>
      <c r="F32" s="412">
        <f>SUMIF(100:100,E32,101:101)-SUMIF(100:100,C32,101:101)+100</f>
        <v>100</v>
      </c>
      <c r="G32" s="1906" t="s">
        <v>3857</v>
      </c>
      <c r="H32" s="418">
        <f>SUMIF(100:100,G32,101:101)-SUMIF(100:100,C32,101:101)+100</f>
        <v>100</v>
      </c>
      <c r="I32" s="1906" t="s">
        <v>3857</v>
      </c>
      <c r="J32" s="386">
        <f>SUMIF(100:100,I32,101:101)-SUMIF(100:100,C32,101:101)+100</f>
        <v>100</v>
      </c>
      <c r="K32" s="377">
        <v>5</v>
      </c>
      <c r="L32" s="2713"/>
      <c r="M32" s="2707"/>
      <c r="N32" s="2707"/>
      <c r="O32" s="2707"/>
      <c r="P32" s="3729" t="s">
        <v>1694</v>
      </c>
      <c r="Q32" s="1349" t="str">
        <f t="shared" si="11"/>
        <v>建筑类型</v>
      </c>
      <c r="R32" s="703" t="s">
        <v>18</v>
      </c>
      <c r="S32" s="704">
        <f t="shared" si="12"/>
        <v>100</v>
      </c>
      <c r="T32" s="703" t="s">
        <v>18</v>
      </c>
      <c r="U32" s="704">
        <f t="shared" si="13"/>
        <v>100</v>
      </c>
      <c r="V32" s="703" t="s">
        <v>18</v>
      </c>
      <c r="W32" s="704">
        <f t="shared" si="14"/>
        <v>100</v>
      </c>
      <c r="X32" s="1352"/>
      <c r="Y32" s="3670" t="s">
        <v>1694</v>
      </c>
      <c r="Z32" s="1353" t="str">
        <f t="shared" si="18"/>
        <v>建筑类型</v>
      </c>
      <c r="AA32" s="1350">
        <f t="shared" si="15"/>
        <v>1</v>
      </c>
      <c r="AB32" s="1350">
        <f t="shared" si="16"/>
        <v>1</v>
      </c>
      <c r="AC32" s="1350">
        <f t="shared" si="17"/>
        <v>1</v>
      </c>
    </row>
    <row r="33" spans="1:29" s="422" customFormat="1" ht="15">
      <c r="A33" s="419"/>
      <c r="B33" s="375" t="s">
        <v>1695</v>
      </c>
      <c r="C33" s="420"/>
      <c r="D33" s="127">
        <v>100</v>
      </c>
      <c r="E33" s="381"/>
      <c r="F33" s="376">
        <f>LOOKUP(E33,103:103,104:104)-LOOKUP(C33,103:103,104:104)+100</f>
        <v>100</v>
      </c>
      <c r="G33" s="380"/>
      <c r="H33" s="127">
        <f>LOOKUP(G33,103:103,104:104)-LOOKUP(C33,103:103,104:104)+100</f>
        <v>100</v>
      </c>
      <c r="I33" s="381"/>
      <c r="J33" s="127">
        <f>LOOKUP(I33,103:103,104:104)-LOOKUP(C33,103:103,104:104)+100</f>
        <v>100</v>
      </c>
      <c r="K33" s="1890"/>
      <c r="L33" s="2712"/>
      <c r="M33" s="2714"/>
      <c r="N33" s="2714"/>
      <c r="O33" s="2714"/>
      <c r="P33" s="3730"/>
      <c r="Q33" s="705" t="str">
        <f t="shared" si="11"/>
        <v>项目建筑规模</v>
      </c>
      <c r="R33" s="706" t="s">
        <v>18</v>
      </c>
      <c r="S33" s="707">
        <f t="shared" si="12"/>
        <v>100</v>
      </c>
      <c r="T33" s="706" t="s">
        <v>18</v>
      </c>
      <c r="U33" s="707">
        <f t="shared" si="13"/>
        <v>100</v>
      </c>
      <c r="V33" s="706" t="s">
        <v>18</v>
      </c>
      <c r="W33" s="707">
        <f t="shared" si="14"/>
        <v>100</v>
      </c>
      <c r="X33" s="708"/>
      <c r="Y33" s="3670"/>
      <c r="Z33" s="709" t="str">
        <f t="shared" si="18"/>
        <v>项目建筑规模</v>
      </c>
      <c r="AA33" s="1350">
        <f t="shared" si="15"/>
        <v>1</v>
      </c>
      <c r="AB33" s="1350">
        <f t="shared" si="16"/>
        <v>1</v>
      </c>
      <c r="AC33" s="1350">
        <f t="shared" si="17"/>
        <v>1</v>
      </c>
    </row>
    <row r="34" spans="1:29" ht="15">
      <c r="A34" s="423"/>
      <c r="B34" s="375" t="s">
        <v>1696</v>
      </c>
      <c r="C34" s="1907" t="s">
        <v>3875</v>
      </c>
      <c r="D34" s="386">
        <v>100</v>
      </c>
      <c r="E34" s="1907" t="s">
        <v>3875</v>
      </c>
      <c r="F34" s="412">
        <f>SUMIF(105:105,E34,106:106)-SUMIF(105:105,C34,106:106)+100</f>
        <v>100</v>
      </c>
      <c r="G34" s="1907" t="s">
        <v>3875</v>
      </c>
      <c r="H34" s="386">
        <f>SUMIF(105:105,G34,106:106)-SUMIF(105:105,C34,106:106)+100</f>
        <v>100</v>
      </c>
      <c r="I34" s="1907" t="s">
        <v>3875</v>
      </c>
      <c r="J34" s="386">
        <f>SUMIF(105:105,I34,106:106)-SUMIF(105:105,C34,106:106)+100</f>
        <v>100</v>
      </c>
      <c r="K34" s="377">
        <v>2</v>
      </c>
      <c r="L34" s="2713"/>
      <c r="M34" s="2707"/>
      <c r="N34" s="2707"/>
      <c r="O34" s="2707"/>
      <c r="P34" s="3730"/>
      <c r="Q34" s="1349" t="str">
        <f t="shared" si="11"/>
        <v>建筑结构</v>
      </c>
      <c r="R34" s="703" t="s">
        <v>18</v>
      </c>
      <c r="S34" s="704">
        <f t="shared" si="12"/>
        <v>100</v>
      </c>
      <c r="T34" s="703" t="s">
        <v>18</v>
      </c>
      <c r="U34" s="704">
        <f t="shared" si="13"/>
        <v>100</v>
      </c>
      <c r="V34" s="703" t="s">
        <v>18</v>
      </c>
      <c r="W34" s="704">
        <f t="shared" si="14"/>
        <v>100</v>
      </c>
      <c r="X34" s="1352"/>
      <c r="Y34" s="3670"/>
      <c r="Z34" s="1353" t="str">
        <f t="shared" si="18"/>
        <v>建筑结构</v>
      </c>
      <c r="AA34" s="1350">
        <f t="shared" si="15"/>
        <v>1</v>
      </c>
      <c r="AB34" s="1350">
        <f t="shared" si="16"/>
        <v>1</v>
      </c>
      <c r="AC34" s="1350">
        <f t="shared" si="17"/>
        <v>1</v>
      </c>
    </row>
    <row r="35" spans="1:29" ht="15">
      <c r="A35" s="423"/>
      <c r="B35" s="375" t="s">
        <v>1697</v>
      </c>
      <c r="C35" s="1902" t="s">
        <v>3876</v>
      </c>
      <c r="D35" s="386">
        <v>100</v>
      </c>
      <c r="E35" s="1902" t="s">
        <v>3876</v>
      </c>
      <c r="F35" s="412">
        <f>SUMIF(107:107,E35,108:108)-SUMIF(107:107,C35,108:108)+100</f>
        <v>100</v>
      </c>
      <c r="G35" s="1902" t="s">
        <v>3876</v>
      </c>
      <c r="H35" s="386">
        <f>SUMIF(107:107,G35,108:108)-SUMIF(107:107,C35,108:108)+100</f>
        <v>100</v>
      </c>
      <c r="I35" s="1902" t="s">
        <v>3876</v>
      </c>
      <c r="J35" s="386">
        <f>SUMIF(107:107,I35,108:108)-SUMIF(107:107,C35,108:108)+100</f>
        <v>100</v>
      </c>
      <c r="K35" s="377">
        <v>2</v>
      </c>
      <c r="L35" s="2713"/>
      <c r="M35" s="2707"/>
      <c r="N35" s="2707"/>
      <c r="O35" s="2707"/>
      <c r="P35" s="3730"/>
      <c r="Q35" s="1349" t="str">
        <f t="shared" si="11"/>
        <v>建筑品质</v>
      </c>
      <c r="R35" s="703" t="s">
        <v>18</v>
      </c>
      <c r="S35" s="704">
        <f t="shared" si="12"/>
        <v>100</v>
      </c>
      <c r="T35" s="703" t="s">
        <v>18</v>
      </c>
      <c r="U35" s="704">
        <f t="shared" si="13"/>
        <v>100</v>
      </c>
      <c r="V35" s="703" t="s">
        <v>18</v>
      </c>
      <c r="W35" s="704">
        <f t="shared" si="14"/>
        <v>100</v>
      </c>
      <c r="X35" s="1352"/>
      <c r="Y35" s="3670"/>
      <c r="Z35" s="1353" t="str">
        <f t="shared" si="18"/>
        <v>建筑品质</v>
      </c>
      <c r="AA35" s="1350">
        <f t="shared" si="15"/>
        <v>1</v>
      </c>
      <c r="AB35" s="1350">
        <f t="shared" si="16"/>
        <v>1</v>
      </c>
      <c r="AC35" s="1350">
        <f t="shared" si="17"/>
        <v>1</v>
      </c>
    </row>
    <row r="36" spans="1:29" ht="15">
      <c r="A36" s="423"/>
      <c r="B36" s="375" t="s">
        <v>1698</v>
      </c>
      <c r="C36" s="1902" t="s">
        <v>3877</v>
      </c>
      <c r="D36" s="386">
        <v>100</v>
      </c>
      <c r="E36" s="1902" t="s">
        <v>3877</v>
      </c>
      <c r="F36" s="412">
        <f>SUMIF(109:109,E36,110:110)-SUMIF(109:109,C36,110:110)+100</f>
        <v>100</v>
      </c>
      <c r="G36" s="1902" t="s">
        <v>3877</v>
      </c>
      <c r="H36" s="386">
        <f>SUMIF(109:109,G36,110:110)-SUMIF(109:109,C36,110:110)+100</f>
        <v>100</v>
      </c>
      <c r="I36" s="1902" t="s">
        <v>3877</v>
      </c>
      <c r="J36" s="386">
        <f>SUMIF(109:109,I36,110:110)-SUMIF(109:109,C36,110:110)+100</f>
        <v>100</v>
      </c>
      <c r="K36" s="377">
        <v>2</v>
      </c>
      <c r="L36" s="2713"/>
      <c r="M36" s="2707"/>
      <c r="N36" s="2707"/>
      <c r="O36" s="2707"/>
      <c r="P36" s="3730"/>
      <c r="Q36" s="1349" t="str">
        <f t="shared" si="11"/>
        <v>公共部分装修</v>
      </c>
      <c r="R36" s="703" t="s">
        <v>18</v>
      </c>
      <c r="S36" s="704">
        <f t="shared" si="12"/>
        <v>100</v>
      </c>
      <c r="T36" s="703" t="s">
        <v>18</v>
      </c>
      <c r="U36" s="704">
        <f t="shared" si="13"/>
        <v>100</v>
      </c>
      <c r="V36" s="703" t="s">
        <v>18</v>
      </c>
      <c r="W36" s="704">
        <f t="shared" si="14"/>
        <v>100</v>
      </c>
      <c r="X36" s="1352"/>
      <c r="Y36" s="3670"/>
      <c r="Z36" s="1353" t="str">
        <f t="shared" si="18"/>
        <v>公共部分装修</v>
      </c>
      <c r="AA36" s="1350">
        <f t="shared" si="15"/>
        <v>1</v>
      </c>
      <c r="AB36" s="1350">
        <f t="shared" si="16"/>
        <v>1</v>
      </c>
      <c r="AC36" s="1350">
        <f t="shared" si="17"/>
        <v>1</v>
      </c>
    </row>
    <row r="37" spans="1:29" s="108" customFormat="1" ht="15">
      <c r="A37" s="424"/>
      <c r="B37" s="375" t="s">
        <v>1699</v>
      </c>
      <c r="C37" s="425">
        <v>1</v>
      </c>
      <c r="D37" s="127">
        <v>100</v>
      </c>
      <c r="E37" s="425">
        <v>1</v>
      </c>
      <c r="F37" s="376">
        <f>LOOKUP(E37,112:112,113:113)-LOOKUP(C37,112:112,113:113)+100</f>
        <v>100</v>
      </c>
      <c r="G37" s="425">
        <v>1</v>
      </c>
      <c r="H37" s="127">
        <f>LOOKUP(G37,112:112,113:113)-LOOKUP(C37,112:112,113:113)+100</f>
        <v>100</v>
      </c>
      <c r="I37" s="425">
        <v>1</v>
      </c>
      <c r="J37" s="127">
        <f>LOOKUP(I37,112:112,113:113)-LOOKUP(C37,112:112,113:113)+100</f>
        <v>100</v>
      </c>
      <c r="K37" s="377">
        <v>1</v>
      </c>
      <c r="L37" s="2708"/>
      <c r="M37" s="2709"/>
      <c r="N37" s="2709"/>
      <c r="O37" s="2709"/>
      <c r="P37" s="3730"/>
      <c r="Q37" s="1340" t="str">
        <f t="shared" si="11"/>
        <v>成新度</v>
      </c>
      <c r="R37" s="699" t="s">
        <v>18</v>
      </c>
      <c r="S37" s="700">
        <f t="shared" si="12"/>
        <v>100</v>
      </c>
      <c r="T37" s="699" t="s">
        <v>18</v>
      </c>
      <c r="U37" s="700">
        <f t="shared" si="13"/>
        <v>100</v>
      </c>
      <c r="V37" s="699" t="s">
        <v>18</v>
      </c>
      <c r="W37" s="700">
        <f t="shared" si="14"/>
        <v>100</v>
      </c>
      <c r="X37" s="701"/>
      <c r="Y37" s="3670"/>
      <c r="Z37" s="52" t="str">
        <f t="shared" si="18"/>
        <v>成新度</v>
      </c>
      <c r="AA37" s="702">
        <f t="shared" si="15"/>
        <v>1</v>
      </c>
      <c r="AB37" s="702">
        <f t="shared" si="16"/>
        <v>1</v>
      </c>
      <c r="AC37" s="702">
        <f t="shared" si="17"/>
        <v>1</v>
      </c>
    </row>
    <row r="38" spans="1:29" ht="15">
      <c r="A38" s="423"/>
      <c r="B38" s="375" t="s">
        <v>1700</v>
      </c>
      <c r="C38" s="1902" t="s">
        <v>3878</v>
      </c>
      <c r="D38" s="386">
        <v>100</v>
      </c>
      <c r="E38" s="1902" t="s">
        <v>3878</v>
      </c>
      <c r="F38" s="412">
        <f>SUMIF(114:114,E38,115:115)-SUMIF(114:114,C38,115:115)+100</f>
        <v>100</v>
      </c>
      <c r="G38" s="1902" t="s">
        <v>3878</v>
      </c>
      <c r="H38" s="386">
        <f>SUMIF(114:114,G38,115:115)-SUMIF(114:114,C38,115:115)+100</f>
        <v>100</v>
      </c>
      <c r="I38" s="1902" t="s">
        <v>3878</v>
      </c>
      <c r="J38" s="386">
        <f>SUMIF(114:114,I38,115:115)-SUMIF(114:114,C38,115:115)+100</f>
        <v>100</v>
      </c>
      <c r="K38" s="377">
        <v>2</v>
      </c>
      <c r="L38" s="2713"/>
      <c r="M38" s="2707"/>
      <c r="N38" s="2707"/>
      <c r="O38" s="2707"/>
      <c r="P38" s="3730" t="s">
        <v>1694</v>
      </c>
      <c r="Q38" s="1349" t="str">
        <f t="shared" si="11"/>
        <v>物业管理</v>
      </c>
      <c r="R38" s="703" t="s">
        <v>18</v>
      </c>
      <c r="S38" s="704">
        <f t="shared" si="12"/>
        <v>100</v>
      </c>
      <c r="T38" s="703" t="s">
        <v>18</v>
      </c>
      <c r="U38" s="704">
        <f t="shared" si="13"/>
        <v>100</v>
      </c>
      <c r="V38" s="703" t="s">
        <v>18</v>
      </c>
      <c r="W38" s="704">
        <f t="shared" si="14"/>
        <v>100</v>
      </c>
      <c r="X38" s="1352"/>
      <c r="Y38" s="3670" t="s">
        <v>1694</v>
      </c>
      <c r="Z38" s="1353" t="str">
        <f t="shared" si="18"/>
        <v>物业管理</v>
      </c>
      <c r="AA38" s="1350">
        <f t="shared" si="15"/>
        <v>1</v>
      </c>
      <c r="AB38" s="1350">
        <f t="shared" si="16"/>
        <v>1</v>
      </c>
      <c r="AC38" s="1350">
        <f t="shared" si="17"/>
        <v>1</v>
      </c>
    </row>
    <row r="39" spans="1:29" ht="15">
      <c r="A39" s="423"/>
      <c r="B39" s="375" t="s">
        <v>1701</v>
      </c>
      <c r="C39" s="1902" t="s">
        <v>3507</v>
      </c>
      <c r="D39" s="386">
        <v>100</v>
      </c>
      <c r="E39" s="1902" t="s">
        <v>3507</v>
      </c>
      <c r="F39" s="412">
        <f>SUMIF(116:116,E39,117:117)-SUMIF(116:116,C39,117:117)+100</f>
        <v>100</v>
      </c>
      <c r="G39" s="1902" t="s">
        <v>3507</v>
      </c>
      <c r="H39" s="386">
        <f>SUMIF(116:116,G39,117:117)-SUMIF(116:116,C39,117:117)+100</f>
        <v>100</v>
      </c>
      <c r="I39" s="1902" t="s">
        <v>3507</v>
      </c>
      <c r="J39" s="386">
        <f>SUMIF(116:116,I39,117:117)-SUMIF(116:116,C39,117:117)+100</f>
        <v>100</v>
      </c>
      <c r="K39" s="377">
        <v>1</v>
      </c>
      <c r="L39" s="2713"/>
      <c r="M39" s="2707"/>
      <c r="N39" s="2707"/>
      <c r="O39" s="2707"/>
      <c r="P39" s="3730"/>
      <c r="Q39" s="1349" t="str">
        <f t="shared" si="11"/>
        <v>市政基础设施</v>
      </c>
      <c r="R39" s="703" t="s">
        <v>18</v>
      </c>
      <c r="S39" s="704">
        <f t="shared" si="12"/>
        <v>100</v>
      </c>
      <c r="T39" s="703" t="s">
        <v>18</v>
      </c>
      <c r="U39" s="704">
        <f t="shared" si="13"/>
        <v>100</v>
      </c>
      <c r="V39" s="703" t="s">
        <v>18</v>
      </c>
      <c r="W39" s="704">
        <f t="shared" si="14"/>
        <v>100</v>
      </c>
      <c r="X39" s="1352"/>
      <c r="Y39" s="3670"/>
      <c r="Z39" s="1353" t="str">
        <f t="shared" si="18"/>
        <v>市政基础设施</v>
      </c>
      <c r="AA39" s="1350">
        <f t="shared" si="15"/>
        <v>1</v>
      </c>
      <c r="AB39" s="1350">
        <f t="shared" si="16"/>
        <v>1</v>
      </c>
      <c r="AC39" s="1350">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3"/>
      <c r="M40" s="2707"/>
      <c r="N40" s="2707"/>
      <c r="O40" s="2707"/>
      <c r="P40" s="3730"/>
      <c r="Q40" s="1349" t="str">
        <f t="shared" si="11"/>
        <v>房型</v>
      </c>
      <c r="R40" s="703" t="s">
        <v>18</v>
      </c>
      <c r="S40" s="704">
        <f t="shared" si="12"/>
        <v>100</v>
      </c>
      <c r="T40" s="703" t="s">
        <v>18</v>
      </c>
      <c r="U40" s="704">
        <f t="shared" si="13"/>
        <v>100</v>
      </c>
      <c r="V40" s="703" t="s">
        <v>18</v>
      </c>
      <c r="W40" s="704">
        <f t="shared" si="14"/>
        <v>100</v>
      </c>
      <c r="X40" s="1352"/>
      <c r="Y40" s="3670"/>
      <c r="Z40" s="1353" t="str">
        <f t="shared" si="18"/>
        <v>房型</v>
      </c>
      <c r="AA40" s="1350">
        <f t="shared" si="15"/>
        <v>1</v>
      </c>
      <c r="AB40" s="1350">
        <f t="shared" si="16"/>
        <v>1</v>
      </c>
      <c r="AC40" s="1350">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6"/>
      <c r="J41" s="386">
        <f>SUMIF(120:120,I41,121:121)-SUMIF(120:120,C41,121:121)+100</f>
        <v>100</v>
      </c>
      <c r="K41" s="1890"/>
      <c r="L41" s="2712"/>
      <c r="M41" s="2714"/>
      <c r="N41" s="2714"/>
      <c r="O41" s="2714"/>
      <c r="P41" s="3730"/>
      <c r="Q41" s="705" t="str">
        <f t="shared" si="11"/>
        <v>单套/主力户型建筑面积</v>
      </c>
      <c r="R41" s="706" t="s">
        <v>18</v>
      </c>
      <c r="S41" s="707">
        <f t="shared" si="12"/>
        <v>100</v>
      </c>
      <c r="T41" s="706" t="s">
        <v>18</v>
      </c>
      <c r="U41" s="707">
        <f t="shared" si="13"/>
        <v>100</v>
      </c>
      <c r="V41" s="706" t="s">
        <v>18</v>
      </c>
      <c r="W41" s="707">
        <f t="shared" si="14"/>
        <v>100</v>
      </c>
      <c r="X41" s="708"/>
      <c r="Y41" s="3670"/>
      <c r="Z41" s="709" t="str">
        <f t="shared" si="18"/>
        <v>单套/主力户型建筑面积</v>
      </c>
      <c r="AA41" s="1350">
        <f t="shared" si="15"/>
        <v>1</v>
      </c>
      <c r="AB41" s="1350">
        <f t="shared" si="16"/>
        <v>1</v>
      </c>
      <c r="AC41" s="1350">
        <f t="shared" si="17"/>
        <v>1</v>
      </c>
    </row>
    <row r="42" spans="1:29" ht="15">
      <c r="A42" s="423"/>
      <c r="B42" s="375" t="s">
        <v>1704</v>
      </c>
      <c r="C42" s="1902" t="s">
        <v>3877</v>
      </c>
      <c r="D42" s="386">
        <v>100</v>
      </c>
      <c r="E42" s="1902" t="s">
        <v>3877</v>
      </c>
      <c r="F42" s="412">
        <f>SUMIF(122:122,E42,123:123)-SUMIF(122:122,C42,123:123)+100</f>
        <v>100</v>
      </c>
      <c r="G42" s="1902" t="s">
        <v>3877</v>
      </c>
      <c r="H42" s="386">
        <f>SUMIF(122:122,G42,123:123)-SUMIF(122:122,C42,123:123)+100</f>
        <v>100</v>
      </c>
      <c r="I42" s="1902" t="s">
        <v>3877</v>
      </c>
      <c r="J42" s="386">
        <f>SUMIF(122:122,I42,123:123)-SUMIF(122:122,C42,123:123)+100</f>
        <v>100</v>
      </c>
      <c r="K42" s="377">
        <v>2</v>
      </c>
      <c r="L42" s="2713"/>
      <c r="M42" s="2707"/>
      <c r="N42" s="2707"/>
      <c r="O42" s="2707"/>
      <c r="P42" s="3730"/>
      <c r="Q42" s="1349" t="str">
        <f t="shared" si="11"/>
        <v>内部装修</v>
      </c>
      <c r="R42" s="703" t="s">
        <v>18</v>
      </c>
      <c r="S42" s="704">
        <f t="shared" si="12"/>
        <v>100</v>
      </c>
      <c r="T42" s="703" t="s">
        <v>18</v>
      </c>
      <c r="U42" s="704">
        <f t="shared" si="13"/>
        <v>100</v>
      </c>
      <c r="V42" s="703" t="s">
        <v>18</v>
      </c>
      <c r="W42" s="704">
        <f t="shared" si="14"/>
        <v>100</v>
      </c>
      <c r="X42" s="1352"/>
      <c r="Y42" s="3670"/>
      <c r="Z42" s="1353" t="str">
        <f t="shared" si="18"/>
        <v>内部装修</v>
      </c>
      <c r="AA42" s="1350">
        <f t="shared" si="15"/>
        <v>1</v>
      </c>
      <c r="AB42" s="1350">
        <f t="shared" si="16"/>
        <v>1</v>
      </c>
      <c r="AC42" s="1350">
        <f t="shared" si="17"/>
        <v>1</v>
      </c>
    </row>
    <row r="43" spans="1:29" ht="15.75" thickBot="1">
      <c r="A43" s="423"/>
      <c r="B43" s="375" t="s">
        <v>1705</v>
      </c>
      <c r="C43" s="1902" t="s">
        <v>3501</v>
      </c>
      <c r="D43" s="386">
        <v>100</v>
      </c>
      <c r="E43" s="1902" t="s">
        <v>3501</v>
      </c>
      <c r="F43" s="412">
        <f>SUMIF(124:124,E43,125:125)-SUMIF(124:124,C43,125:125)+100</f>
        <v>100</v>
      </c>
      <c r="G43" s="1902" t="s">
        <v>3501</v>
      </c>
      <c r="H43" s="386">
        <f>SUMIF(124:124,G43,125:125)-SUMIF(124:124,C43,125:125)+100</f>
        <v>100</v>
      </c>
      <c r="I43" s="1902" t="s">
        <v>3501</v>
      </c>
      <c r="J43" s="386">
        <f>SUMIF(124:124,I43,125:125)-SUMIF(124:124,C43,125:125)+100</f>
        <v>100</v>
      </c>
      <c r="K43" s="377">
        <v>2</v>
      </c>
      <c r="L43" s="2713"/>
      <c r="M43" s="2707"/>
      <c r="N43" s="2707"/>
      <c r="O43" s="2707"/>
      <c r="P43" s="3730"/>
      <c r="Q43" s="1349" t="str">
        <f t="shared" si="11"/>
        <v>内部装修维护情况</v>
      </c>
      <c r="R43" s="703" t="s">
        <v>18</v>
      </c>
      <c r="S43" s="704">
        <f t="shared" si="12"/>
        <v>100</v>
      </c>
      <c r="T43" s="703" t="s">
        <v>18</v>
      </c>
      <c r="U43" s="704">
        <f t="shared" si="13"/>
        <v>100</v>
      </c>
      <c r="V43" s="703" t="s">
        <v>18</v>
      </c>
      <c r="W43" s="704">
        <f t="shared" si="14"/>
        <v>100</v>
      </c>
      <c r="X43" s="1352"/>
      <c r="Y43" s="3670"/>
      <c r="Z43" s="1353" t="str">
        <f t="shared" si="18"/>
        <v>内部装修维护情况</v>
      </c>
      <c r="AA43" s="1350">
        <f t="shared" si="15"/>
        <v>1</v>
      </c>
      <c r="AB43" s="1350">
        <f t="shared" si="16"/>
        <v>1</v>
      </c>
      <c r="AC43" s="1350">
        <f t="shared" si="17"/>
        <v>1</v>
      </c>
    </row>
    <row r="44" spans="1:29" s="108" customFormat="1" ht="15" hidden="1">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08"/>
      <c r="M44" s="2709"/>
      <c r="N44" s="2709"/>
      <c r="O44" s="2709"/>
      <c r="P44" s="3730"/>
      <c r="Q44" s="1340">
        <f t="shared" si="11"/>
        <v>111</v>
      </c>
      <c r="R44" s="699" t="s">
        <v>18</v>
      </c>
      <c r="S44" s="700">
        <f t="shared" si="12"/>
        <v>100</v>
      </c>
      <c r="T44" s="699" t="s">
        <v>18</v>
      </c>
      <c r="U44" s="700">
        <f t="shared" si="13"/>
        <v>100</v>
      </c>
      <c r="V44" s="699" t="s">
        <v>18</v>
      </c>
      <c r="W44" s="700">
        <f t="shared" si="14"/>
        <v>100</v>
      </c>
      <c r="X44" s="701"/>
      <c r="Y44" s="3670"/>
      <c r="Z44" s="52">
        <f t="shared" si="18"/>
        <v>111</v>
      </c>
      <c r="AA44" s="702">
        <f t="shared" si="15"/>
        <v>1</v>
      </c>
      <c r="AB44" s="702">
        <f t="shared" si="16"/>
        <v>1</v>
      </c>
      <c r="AC44" s="702">
        <f t="shared" si="17"/>
        <v>1</v>
      </c>
    </row>
    <row r="45" spans="1:29" ht="15" hidden="1">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3"/>
      <c r="M45" s="2707"/>
      <c r="N45" s="2707"/>
      <c r="O45" s="2707"/>
      <c r="P45" s="3730"/>
      <c r="Q45" s="1349">
        <f t="shared" si="11"/>
        <v>111</v>
      </c>
      <c r="R45" s="703" t="s">
        <v>18</v>
      </c>
      <c r="S45" s="704">
        <f t="shared" si="12"/>
        <v>100</v>
      </c>
      <c r="T45" s="703" t="s">
        <v>18</v>
      </c>
      <c r="U45" s="704">
        <f t="shared" si="13"/>
        <v>100</v>
      </c>
      <c r="V45" s="703" t="s">
        <v>18</v>
      </c>
      <c r="W45" s="704">
        <f t="shared" si="14"/>
        <v>100</v>
      </c>
      <c r="X45" s="1352"/>
      <c r="Y45" s="3670"/>
      <c r="Z45" s="1353">
        <f t="shared" si="18"/>
        <v>111</v>
      </c>
      <c r="AA45" s="1350">
        <f t="shared" si="15"/>
        <v>1</v>
      </c>
      <c r="AB45" s="1350">
        <f t="shared" si="16"/>
        <v>1</v>
      </c>
      <c r="AC45" s="1350">
        <f t="shared" si="17"/>
        <v>1</v>
      </c>
    </row>
    <row r="46" spans="1:29" ht="15.75" hidden="1" thickBot="1">
      <c r="A46" s="427"/>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3"/>
      <c r="M46" s="2707"/>
      <c r="N46" s="2707"/>
      <c r="O46" s="2707"/>
      <c r="P46" s="3731"/>
      <c r="Q46" s="1349">
        <f t="shared" si="11"/>
        <v>111</v>
      </c>
      <c r="R46" s="703" t="s">
        <v>17</v>
      </c>
      <c r="S46" s="704">
        <f t="shared" si="12"/>
        <v>100</v>
      </c>
      <c r="T46" s="703" t="s">
        <v>17</v>
      </c>
      <c r="U46" s="704">
        <f t="shared" si="13"/>
        <v>100</v>
      </c>
      <c r="V46" s="703" t="s">
        <v>17</v>
      </c>
      <c r="W46" s="704">
        <f t="shared" si="14"/>
        <v>100</v>
      </c>
      <c r="X46" s="1352"/>
      <c r="Y46" s="3732"/>
      <c r="Z46" s="1353">
        <f t="shared" si="18"/>
        <v>111</v>
      </c>
      <c r="AA46" s="1350">
        <f t="shared" si="15"/>
        <v>1</v>
      </c>
      <c r="AB46" s="1350">
        <f t="shared" si="16"/>
        <v>1</v>
      </c>
      <c r="AC46" s="1350">
        <f t="shared" si="17"/>
        <v>1</v>
      </c>
    </row>
    <row r="47" spans="1:29" ht="15">
      <c r="A47" s="428" t="s">
        <v>1706</v>
      </c>
      <c r="B47" s="429"/>
      <c r="C47" s="1152" t="s">
        <v>16</v>
      </c>
      <c r="D47" s="1153"/>
      <c r="E47" s="1154">
        <f>住宅售价!B2</f>
        <v>122608</v>
      </c>
      <c r="F47" s="1155"/>
      <c r="G47" s="1156">
        <f>住宅售价!B3</f>
        <v>118502</v>
      </c>
      <c r="H47" s="1157"/>
      <c r="I47" s="1154">
        <f>住宅售价!B4</f>
        <v>113017</v>
      </c>
      <c r="J47" s="1157"/>
      <c r="K47" s="1908"/>
      <c r="L47" s="2715"/>
      <c r="M47" s="2716"/>
      <c r="N47" s="2707"/>
      <c r="O47" s="2716"/>
      <c r="P47" s="3666" t="str">
        <f>A47</f>
        <v>成交单价（元/平方米）</v>
      </c>
      <c r="Q47" s="3666"/>
      <c r="R47" s="3728">
        <f>E47</f>
        <v>122608</v>
      </c>
      <c r="S47" s="3728"/>
      <c r="T47" s="3728">
        <f>G47</f>
        <v>118502</v>
      </c>
      <c r="U47" s="3728"/>
      <c r="V47" s="3728">
        <f>I47</f>
        <v>113017</v>
      </c>
      <c r="W47" s="3728"/>
      <c r="X47" s="688"/>
      <c r="Y47" s="710"/>
      <c r="Z47" s="688"/>
      <c r="AA47" s="688"/>
      <c r="AB47" s="688"/>
      <c r="AC47" s="688"/>
    </row>
    <row r="48" spans="1:29" ht="15.75" thickBot="1">
      <c r="A48" s="435" t="s">
        <v>1707</v>
      </c>
      <c r="B48" s="436"/>
      <c r="C48" s="1158">
        <f>R49</f>
        <v>119223</v>
      </c>
      <c r="D48" s="2311" t="s">
        <v>2136</v>
      </c>
      <c r="E48" s="1159">
        <f>R48</f>
        <v>122608</v>
      </c>
      <c r="F48" s="2312"/>
      <c r="G48" s="1158">
        <f>T48</f>
        <v>118502</v>
      </c>
      <c r="H48" s="2312"/>
      <c r="I48" s="1159">
        <f>V48</f>
        <v>116560</v>
      </c>
      <c r="J48" s="2312"/>
      <c r="K48" s="2313">
        <f>F48+H48+J48</f>
        <v>0</v>
      </c>
      <c r="L48" s="2715"/>
      <c r="M48" s="2716"/>
      <c r="N48" s="2716"/>
      <c r="O48" s="2716"/>
      <c r="P48" s="3666" t="str">
        <f>A48</f>
        <v>比较价值（元/平方米）</v>
      </c>
      <c r="Q48" s="3666"/>
      <c r="R48" s="3728">
        <f>IF(F1="售价",ROUND(PRODUCT(R47,AA7:AA46),0),ROUND(PRODUCT(R47,AA7:AA46),1))</f>
        <v>122608</v>
      </c>
      <c r="S48" s="3728"/>
      <c r="T48" s="3728">
        <f>IF(F1="售价",ROUND(PRODUCT(T47,AB7:AB46),0),ROUND(PRODUCT(T47,AB7:AB46),1))</f>
        <v>118502</v>
      </c>
      <c r="U48" s="3728"/>
      <c r="V48" s="3728">
        <f>IF(F1="售价",ROUND(PRODUCT(V47,AC7:AC46),0),ROUND(PRODUCT(V47,AC7:AC46),1))</f>
        <v>116560</v>
      </c>
      <c r="W48" s="3728"/>
      <c r="X48" s="688"/>
      <c r="Y48" s="688"/>
      <c r="Z48" s="688"/>
      <c r="AA48" s="688"/>
      <c r="AB48" s="688"/>
      <c r="AC48" s="688"/>
    </row>
    <row r="49" spans="1:29" ht="15.75" thickBot="1">
      <c r="A49" s="439" t="s">
        <v>1708</v>
      </c>
      <c r="B49" s="440"/>
      <c r="C49" s="1160">
        <f>R49</f>
        <v>119223</v>
      </c>
      <c r="D49" s="1161"/>
      <c r="E49" s="1161"/>
      <c r="F49" s="1161"/>
      <c r="G49" s="1161"/>
      <c r="H49" s="1161"/>
      <c r="I49" s="1161"/>
      <c r="J49" s="1161"/>
      <c r="K49" s="1909"/>
      <c r="L49" s="2715"/>
      <c r="M49" s="2716"/>
      <c r="N49" s="2716"/>
      <c r="O49" s="2716"/>
      <c r="P49" s="3660" t="str">
        <f>A49</f>
        <v>估价对象XX用房的比较价值（楼面单价，元/平方米）</v>
      </c>
      <c r="Q49" s="3661"/>
      <c r="R49" s="3727">
        <f>IF(F1="售价",ROUND(IF(D48="简单平均",AVERAGE(R48:V48),R48*F48+T48*H48+V48*J48),0),ROUND(IF(D48="简单平均",AVERAGE(R48:V48),R48*F48+T48*H48+V48*J48),1))</f>
        <v>119223</v>
      </c>
      <c r="S49" s="3727"/>
      <c r="T49" s="3727"/>
      <c r="U49" s="3727"/>
      <c r="V49" s="3727"/>
      <c r="W49" s="3727"/>
      <c r="X49" s="688"/>
      <c r="Y49" s="688"/>
      <c r="Z49" s="688"/>
      <c r="AA49" s="688"/>
      <c r="AB49" s="688"/>
      <c r="AC49" s="688"/>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4" t="s">
        <v>1709</v>
      </c>
      <c r="D52" s="445"/>
      <c r="E52" s="446">
        <f>IF(E47&lt;E48,E48/E47-1,E47/E48-1)</f>
        <v>0</v>
      </c>
      <c r="F52" s="447" t="str">
        <f>IF(OR(E52&gt;=0.3,E52&lt;=-0.3),"超过30%","")</f>
        <v/>
      </c>
      <c r="G52" s="446">
        <f>IF(G47&lt;G48,G48/G47-1,G47/G48-1)</f>
        <v>0</v>
      </c>
      <c r="H52" s="447" t="str">
        <f>IF(OR(G52&gt;=0.3,G52&lt;=-0.3),"超过30%","")</f>
        <v/>
      </c>
      <c r="I52" s="446">
        <f>IF(I47&lt;I48,I48/I47-1,I47/I48-1)</f>
        <v>3.1349266039622403E-2</v>
      </c>
      <c r="J52" s="447" t="str">
        <f>IF(OR(I52&gt;=0.3,I52&lt;=-0.3),"超过30%","")</f>
        <v/>
      </c>
      <c r="K52" s="2721"/>
      <c r="L52" s="2717"/>
      <c r="M52" s="2716"/>
      <c r="N52" s="2716"/>
      <c r="O52" s="2716"/>
    </row>
    <row r="53" spans="1:29" ht="13.5" customHeight="1">
      <c r="A53" s="2716"/>
      <c r="B53" s="2716"/>
      <c r="C53" s="444" t="s">
        <v>1710</v>
      </c>
      <c r="D53" s="448"/>
      <c r="E53" s="446">
        <f>IF(E48&lt;G48,G48/E48-1,E48/G48-1)</f>
        <v>3.4649204232839903E-2</v>
      </c>
      <c r="F53" s="447" t="str">
        <f>IF(OR(E53&gt;=0.2,E53&lt;=-0.2),"超过20%","")</f>
        <v/>
      </c>
      <c r="G53" s="446">
        <f>IF(G48&lt;I48,I48/G48-1,G48/I48-1)</f>
        <v>1.6660947151681427E-2</v>
      </c>
      <c r="H53" s="447" t="str">
        <f>IF(OR(G53&gt;=0.2,G53&lt;=-0.2),"超过20%","")</f>
        <v/>
      </c>
      <c r="I53" s="446">
        <f>IF(I48&lt;E48,E48/I48-1,I48/E48-1)</f>
        <v>5.1887439945092595E-2</v>
      </c>
      <c r="J53" s="447" t="str">
        <f>IF(OR(I53&gt;=0.2,I53&lt;=-0.2),"超过20%","")</f>
        <v/>
      </c>
      <c r="K53" s="2721"/>
      <c r="L53" s="2717"/>
      <c r="M53" s="2716"/>
      <c r="N53" s="2716"/>
      <c r="O53" s="2716"/>
    </row>
    <row r="54" spans="1:29" s="449" customFormat="1" ht="13.5" customHeight="1">
      <c r="A54" s="2719"/>
      <c r="B54" s="2719"/>
      <c r="C54" s="444" t="s">
        <v>1711</v>
      </c>
      <c r="D54" s="448"/>
      <c r="E54" s="446">
        <f>IF(E47&lt;G47,G47/E47-1,E47/G47-1)</f>
        <v>3.4649204232839903E-2</v>
      </c>
      <c r="F54" s="447" t="str">
        <f>IF(OR(E54&gt;=0.3,E54&lt;=-0.3),"超过30%","")</f>
        <v/>
      </c>
      <c r="G54" s="446">
        <f>IF(G47&lt;I47,I47/G47-1,G47/I47-1)</f>
        <v>4.8532521656033945E-2</v>
      </c>
      <c r="H54" s="447" t="str">
        <f>IF(OR(G54&gt;=0.3,G54&lt;=-0.3),"超过30%","")</f>
        <v/>
      </c>
      <c r="I54" s="446">
        <f>IF(I47&lt;E47,E47/I47-1,I47/E47-1)</f>
        <v>8.4863339143668615E-2</v>
      </c>
      <c r="J54" s="447" t="str">
        <f>IF(OR(I54&gt;=0.3,I54&lt;=-0.3),"超过30%","")</f>
        <v/>
      </c>
      <c r="K54" s="2724"/>
      <c r="L54" s="2718"/>
      <c r="M54" s="2719"/>
      <c r="N54" s="2719"/>
      <c r="O54" s="2719"/>
      <c r="P54" s="1911"/>
    </row>
    <row r="55" spans="1:29" s="449" customFormat="1">
      <c r="A55" s="2719"/>
      <c r="B55" s="2722"/>
      <c r="C55" s="2723"/>
      <c r="D55" s="2719"/>
      <c r="E55" s="2719"/>
      <c r="F55" s="2719"/>
      <c r="G55" s="2719"/>
      <c r="H55" s="2719"/>
      <c r="I55" s="2719"/>
      <c r="J55" s="2719"/>
      <c r="K55" s="2724"/>
      <c r="L55" s="2718"/>
      <c r="M55" s="2719"/>
      <c r="N55" s="2719"/>
      <c r="O55" s="2719"/>
      <c r="P55" s="1911"/>
    </row>
    <row r="56" spans="1:29">
      <c r="A56" s="2716"/>
      <c r="B56" s="2722"/>
      <c r="C56" s="2723"/>
      <c r="D56" s="2716"/>
      <c r="E56" s="2716"/>
      <c r="F56" s="2716"/>
      <c r="G56" s="2716"/>
      <c r="H56" s="2716"/>
      <c r="I56" s="2716"/>
      <c r="J56" s="2716"/>
      <c r="K56" s="2721"/>
      <c r="L56" s="2717"/>
      <c r="M56" s="2716"/>
      <c r="N56" s="2716"/>
      <c r="O56" s="2716"/>
    </row>
    <row r="57" spans="1:29" ht="21.75" thickBot="1">
      <c r="A57" s="692" t="s">
        <v>1712</v>
      </c>
      <c r="B57" s="688"/>
      <c r="C57" s="693"/>
      <c r="D57" s="693"/>
      <c r="E57" s="693"/>
      <c r="F57" s="694"/>
      <c r="G57" s="694"/>
      <c r="H57" s="693"/>
      <c r="I57" s="693"/>
      <c r="J57" s="693"/>
      <c r="K57" s="939"/>
      <c r="L57" s="940"/>
      <c r="M57" s="938"/>
      <c r="N57" s="938"/>
      <c r="O57" s="938"/>
      <c r="P57" s="1912"/>
      <c r="Q57" s="451"/>
    </row>
    <row r="58" spans="1:29" s="455" customFormat="1" ht="15">
      <c r="A58" s="452" t="s">
        <v>1713</v>
      </c>
      <c r="B58" s="453"/>
      <c r="C58" s="1183" t="str">
        <f>YEAR(C7)&amp;"-"&amp;MONTH(C7)</f>
        <v>2024-10</v>
      </c>
      <c r="D58" s="1182">
        <f>EDATE(C58,-1)</f>
        <v>45536</v>
      </c>
      <c r="E58" s="1182">
        <f>EDATE(D58,-1)</f>
        <v>45505</v>
      </c>
      <c r="F58" s="1182">
        <f t="shared" ref="F58:O58" si="19">EDATE(E58,-1)</f>
        <v>45474</v>
      </c>
      <c r="G58" s="1182">
        <f t="shared" si="19"/>
        <v>45444</v>
      </c>
      <c r="H58" s="1182">
        <f t="shared" si="19"/>
        <v>45413</v>
      </c>
      <c r="I58" s="1182">
        <f t="shared" si="19"/>
        <v>45383</v>
      </c>
      <c r="J58" s="1182">
        <f t="shared" si="19"/>
        <v>45352</v>
      </c>
      <c r="K58" s="1182">
        <f t="shared" si="19"/>
        <v>45323</v>
      </c>
      <c r="L58" s="1182">
        <f t="shared" si="19"/>
        <v>45292</v>
      </c>
      <c r="M58" s="1182">
        <f t="shared" si="19"/>
        <v>45261</v>
      </c>
      <c r="N58" s="1182">
        <f t="shared" si="19"/>
        <v>45231</v>
      </c>
      <c r="O58" s="1182">
        <f t="shared" si="19"/>
        <v>45200</v>
      </c>
      <c r="P58" s="1178"/>
    </row>
    <row r="59" spans="1:29" s="108" customFormat="1" ht="15">
      <c r="A59" s="456"/>
      <c r="B59" s="1913"/>
      <c r="C59" s="1180">
        <v>100</v>
      </c>
      <c r="D59" s="458"/>
      <c r="E59" s="459"/>
      <c r="F59" s="459"/>
      <c r="G59" s="459"/>
      <c r="H59" s="459"/>
      <c r="I59" s="459"/>
      <c r="J59" s="459"/>
      <c r="K59" s="459"/>
      <c r="L59" s="459"/>
      <c r="M59" s="460"/>
      <c r="N59" s="459"/>
      <c r="O59" s="460"/>
      <c r="P59" s="1914"/>
    </row>
    <row r="60" spans="1:29" s="108" customFormat="1" ht="15.75" thickBot="1">
      <c r="A60" s="462" t="s">
        <v>1714</v>
      </c>
      <c r="B60" s="463"/>
      <c r="C60" s="464"/>
      <c r="D60" s="465"/>
      <c r="E60" s="465"/>
      <c r="F60" s="465"/>
      <c r="G60" s="465"/>
      <c r="H60" s="465"/>
      <c r="I60" s="465"/>
      <c r="J60" s="465"/>
      <c r="K60" s="465"/>
      <c r="L60" s="465"/>
      <c r="M60" s="466"/>
      <c r="N60" s="465"/>
      <c r="O60" s="466"/>
      <c r="P60" s="1914"/>
      <c r="Q60" s="451"/>
    </row>
    <row r="61" spans="1:29" s="108" customFormat="1" ht="15">
      <c r="A61" s="468" t="s">
        <v>1715</v>
      </c>
      <c r="B61" s="457"/>
      <c r="C61" s="469" t="s">
        <v>1716</v>
      </c>
      <c r="D61" s="470"/>
      <c r="E61" s="470"/>
      <c r="F61" s="470"/>
      <c r="G61" s="470"/>
      <c r="H61" s="470"/>
      <c r="I61" s="470"/>
      <c r="J61" s="470"/>
      <c r="K61" s="470"/>
      <c r="L61" s="471"/>
      <c r="M61" s="472"/>
      <c r="N61" s="930"/>
      <c r="O61" s="930"/>
      <c r="P61" s="1915"/>
      <c r="Q61" s="451"/>
    </row>
    <row r="62" spans="1:29" s="108" customFormat="1" ht="15.75" thickBot="1">
      <c r="A62" s="468"/>
      <c r="B62" s="457"/>
      <c r="C62" s="458">
        <v>100</v>
      </c>
      <c r="D62" s="459"/>
      <c r="E62" s="459"/>
      <c r="F62" s="459"/>
      <c r="G62" s="459"/>
      <c r="H62" s="459"/>
      <c r="I62" s="459"/>
      <c r="J62" s="459"/>
      <c r="K62" s="459"/>
      <c r="L62" s="459"/>
      <c r="M62" s="461"/>
      <c r="N62" s="930"/>
      <c r="O62" s="930"/>
      <c r="P62" s="1914"/>
      <c r="Q62" s="451"/>
    </row>
    <row r="63" spans="1:29">
      <c r="A63" s="474" t="s">
        <v>1717</v>
      </c>
      <c r="B63" s="475" t="s">
        <v>1683</v>
      </c>
      <c r="C63" s="476" t="str">
        <f>C9</f>
        <v>住宅</v>
      </c>
      <c r="D63" s="477"/>
      <c r="E63" s="477"/>
      <c r="F63" s="477"/>
      <c r="G63" s="477"/>
      <c r="H63" s="477"/>
      <c r="I63" s="477"/>
      <c r="J63" s="477"/>
      <c r="K63" s="478"/>
      <c r="L63" s="479"/>
      <c r="M63" s="480"/>
      <c r="N63" s="931"/>
      <c r="O63" s="931"/>
      <c r="P63" s="1916"/>
      <c r="Q63" s="451"/>
    </row>
    <row r="64" spans="1:29" ht="15.75" thickBot="1">
      <c r="A64" s="481"/>
      <c r="B64" s="482"/>
      <c r="C64" s="483">
        <v>100</v>
      </c>
      <c r="D64" s="483"/>
      <c r="E64" s="483"/>
      <c r="F64" s="483"/>
      <c r="G64" s="483"/>
      <c r="H64" s="483"/>
      <c r="I64" s="483"/>
      <c r="J64" s="483"/>
      <c r="K64" s="483"/>
      <c r="L64" s="483"/>
      <c r="M64" s="484"/>
      <c r="N64" s="932"/>
      <c r="O64" s="932"/>
      <c r="P64" s="1916"/>
      <c r="Q64" s="451"/>
    </row>
    <row r="65" spans="1:17" ht="27.75" thickTop="1">
      <c r="A65" s="481"/>
      <c r="B65" s="485" t="s">
        <v>1686</v>
      </c>
      <c r="C65" s="530"/>
      <c r="D65" s="530"/>
      <c r="E65" s="530"/>
      <c r="F65" s="530"/>
      <c r="G65" s="530"/>
      <c r="H65" s="530"/>
      <c r="I65" s="530"/>
      <c r="J65" s="530"/>
      <c r="K65" s="530"/>
      <c r="L65" s="530"/>
      <c r="M65" s="530"/>
      <c r="N65" s="932"/>
      <c r="O65" s="932"/>
      <c r="P65" s="1916"/>
      <c r="Q65" s="451"/>
    </row>
    <row r="66" spans="1:17" ht="15.75" thickBot="1">
      <c r="A66" s="481"/>
      <c r="B66" s="490"/>
      <c r="C66" s="483"/>
      <c r="D66" s="483"/>
      <c r="E66" s="483"/>
      <c r="F66" s="483"/>
      <c r="G66" s="483"/>
      <c r="H66" s="483"/>
      <c r="I66" s="483"/>
      <c r="J66" s="483"/>
      <c r="K66" s="483"/>
      <c r="L66" s="483"/>
      <c r="M66" s="484"/>
      <c r="N66" s="932"/>
      <c r="O66" s="932"/>
      <c r="P66" s="1916"/>
      <c r="Q66" s="451"/>
    </row>
    <row r="67" spans="1:17" ht="15.75" thickTop="1">
      <c r="A67" s="481"/>
      <c r="B67" s="493" t="s">
        <v>1687</v>
      </c>
      <c r="C67" s="494" t="str">
        <f>C68&amp;"（含）"&amp;"-"&amp;D68</f>
        <v>0（含）-1</v>
      </c>
      <c r="D67" s="494" t="str">
        <f t="shared" ref="D67:L67" si="20">D68&amp;"（含）"&amp;"-"&amp;E68</f>
        <v>1（含）-1.2</v>
      </c>
      <c r="E67" s="494" t="str">
        <f t="shared" si="20"/>
        <v>1.2（含）-1.5</v>
      </c>
      <c r="F67" s="494" t="str">
        <f t="shared" si="20"/>
        <v>1.5（含）-</v>
      </c>
      <c r="G67" s="494" t="str">
        <f t="shared" si="20"/>
        <v>（含）-</v>
      </c>
      <c r="H67" s="494" t="str">
        <f t="shared" si="20"/>
        <v>（含）-</v>
      </c>
      <c r="I67" s="494" t="str">
        <f t="shared" si="20"/>
        <v>（含）-</v>
      </c>
      <c r="J67" s="494" t="str">
        <f t="shared" si="20"/>
        <v>（含）-</v>
      </c>
      <c r="K67" s="494" t="str">
        <f>K68&amp;"（含）"&amp;"-"&amp;L68</f>
        <v>（含）-</v>
      </c>
      <c r="L67" s="494" t="str">
        <f t="shared" si="20"/>
        <v>（含）-</v>
      </c>
      <c r="M67" s="399" t="str">
        <f>M68&amp;"（含）"&amp;"-"&amp;P68</f>
        <v>（含）-</v>
      </c>
      <c r="N67" s="932"/>
      <c r="O67" s="932"/>
      <c r="P67" s="1916"/>
      <c r="Q67" s="451"/>
    </row>
    <row r="68" spans="1:17" ht="15">
      <c r="A68" s="481"/>
      <c r="B68" s="495"/>
      <c r="C68" s="496">
        <v>0</v>
      </c>
      <c r="D68" s="496">
        <v>1</v>
      </c>
      <c r="E68" s="496">
        <v>1.2</v>
      </c>
      <c r="F68" s="496">
        <v>1.5</v>
      </c>
      <c r="G68" s="496"/>
      <c r="H68" s="496"/>
      <c r="I68" s="496"/>
      <c r="J68" s="496"/>
      <c r="K68" s="497"/>
      <c r="L68" s="498"/>
      <c r="M68" s="499"/>
      <c r="N68" s="931"/>
      <c r="O68" s="931"/>
      <c r="P68" s="1916"/>
      <c r="Q68" s="451"/>
    </row>
    <row r="69" spans="1:17" ht="15.75" thickBot="1">
      <c r="A69" s="481"/>
      <c r="B69" s="482"/>
      <c r="C69" s="491">
        <v>100</v>
      </c>
      <c r="D69" s="491">
        <f t="shared" ref="D69:M69" si="21">C69-$K11</f>
        <v>98</v>
      </c>
      <c r="E69" s="491">
        <f t="shared" si="21"/>
        <v>96</v>
      </c>
      <c r="F69" s="491">
        <f t="shared" si="21"/>
        <v>94</v>
      </c>
      <c r="G69" s="491">
        <f t="shared" si="21"/>
        <v>92</v>
      </c>
      <c r="H69" s="491">
        <f t="shared" si="21"/>
        <v>90</v>
      </c>
      <c r="I69" s="491">
        <f t="shared" si="21"/>
        <v>88</v>
      </c>
      <c r="J69" s="491">
        <f t="shared" si="21"/>
        <v>86</v>
      </c>
      <c r="K69" s="491">
        <f t="shared" si="21"/>
        <v>84</v>
      </c>
      <c r="L69" s="491">
        <f t="shared" si="21"/>
        <v>82</v>
      </c>
      <c r="M69" s="492">
        <f t="shared" si="21"/>
        <v>80</v>
      </c>
      <c r="N69" s="932"/>
      <c r="O69" s="932"/>
      <c r="P69" s="1916"/>
      <c r="Q69" s="451"/>
    </row>
    <row r="70" spans="1:17" s="422" customFormat="1" ht="15.75" thickTop="1">
      <c r="A70" s="500"/>
      <c r="B70" s="485">
        <f>B12</f>
        <v>111</v>
      </c>
      <c r="C70" s="501"/>
      <c r="D70" s="501"/>
      <c r="E70" s="501"/>
      <c r="F70" s="501"/>
      <c r="G70" s="501"/>
      <c r="H70" s="502"/>
      <c r="I70" s="502"/>
      <c r="J70" s="502"/>
      <c r="K70" s="502"/>
      <c r="L70" s="503"/>
      <c r="M70" s="504"/>
      <c r="N70" s="933"/>
      <c r="O70" s="933"/>
      <c r="P70" s="1917"/>
      <c r="Q70" s="506"/>
    </row>
    <row r="71" spans="1:17" s="422" customFormat="1" ht="15.75" thickBot="1">
      <c r="A71" s="500"/>
      <c r="B71" s="490"/>
      <c r="C71" s="507"/>
      <c r="D71" s="483"/>
      <c r="E71" s="483"/>
      <c r="F71" s="483"/>
      <c r="G71" s="483"/>
      <c r="H71" s="483"/>
      <c r="I71" s="483"/>
      <c r="J71" s="483"/>
      <c r="K71" s="483"/>
      <c r="L71" s="483"/>
      <c r="M71" s="484"/>
      <c r="N71" s="932"/>
      <c r="O71" s="932"/>
      <c r="P71" s="1917"/>
      <c r="Q71" s="506"/>
    </row>
    <row r="72" spans="1:17" s="422" customFormat="1" ht="15.75" thickTop="1">
      <c r="A72" s="500"/>
      <c r="B72" s="485">
        <f>B13</f>
        <v>111</v>
      </c>
      <c r="C72" s="501"/>
      <c r="D72" s="501"/>
      <c r="E72" s="501"/>
      <c r="F72" s="501"/>
      <c r="G72" s="501"/>
      <c r="H72" s="502"/>
      <c r="I72" s="502"/>
      <c r="J72" s="502"/>
      <c r="K72" s="502"/>
      <c r="L72" s="503"/>
      <c r="M72" s="504"/>
      <c r="N72" s="933"/>
      <c r="O72" s="933"/>
      <c r="P72" s="1918"/>
      <c r="Q72" s="508"/>
    </row>
    <row r="73" spans="1:17" s="422" customFormat="1" ht="15.75" thickBot="1">
      <c r="A73" s="500"/>
      <c r="B73" s="490"/>
      <c r="C73" s="507"/>
      <c r="D73" s="507"/>
      <c r="E73" s="507"/>
      <c r="F73" s="507"/>
      <c r="G73" s="507"/>
      <c r="H73" s="509"/>
      <c r="I73" s="509"/>
      <c r="J73" s="509"/>
      <c r="K73" s="509"/>
      <c r="L73" s="509"/>
      <c r="M73" s="510"/>
      <c r="N73" s="933"/>
      <c r="O73" s="933"/>
      <c r="P73" s="1917"/>
      <c r="Q73" s="506"/>
    </row>
    <row r="74" spans="1:17" s="422" customFormat="1" ht="15.75" thickTop="1">
      <c r="A74" s="500"/>
      <c r="B74" s="493">
        <f>B14</f>
        <v>111</v>
      </c>
      <c r="C74" s="501"/>
      <c r="D74" s="501"/>
      <c r="E74" s="501"/>
      <c r="F74" s="501"/>
      <c r="G74" s="470"/>
      <c r="H74" s="511"/>
      <c r="I74" s="511"/>
      <c r="J74" s="511"/>
      <c r="K74" s="511"/>
      <c r="L74" s="512"/>
      <c r="M74" s="513"/>
      <c r="N74" s="933"/>
      <c r="O74" s="933"/>
      <c r="P74" s="1919"/>
      <c r="Q74" s="506"/>
    </row>
    <row r="75" spans="1:17" s="422" customFormat="1" ht="15.75" thickBot="1">
      <c r="A75" s="515"/>
      <c r="B75" s="516"/>
      <c r="C75" s="517"/>
      <c r="D75" s="517"/>
      <c r="E75" s="517"/>
      <c r="F75" s="517"/>
      <c r="G75" s="517"/>
      <c r="H75" s="518"/>
      <c r="I75" s="518"/>
      <c r="J75" s="518"/>
      <c r="K75" s="518"/>
      <c r="L75" s="518"/>
      <c r="M75" s="519"/>
      <c r="N75" s="933"/>
      <c r="O75" s="933"/>
      <c r="P75" s="1917"/>
      <c r="Q75" s="506"/>
    </row>
    <row r="76" spans="1:17">
      <c r="A76" s="474" t="s">
        <v>1688</v>
      </c>
      <c r="B76" s="475" t="s">
        <v>1718</v>
      </c>
      <c r="C76" s="520" t="s">
        <v>1719</v>
      </c>
      <c r="D76" s="520" t="s">
        <v>1720</v>
      </c>
      <c r="E76" s="520" t="s">
        <v>1721</v>
      </c>
      <c r="F76" s="520" t="s">
        <v>1722</v>
      </c>
      <c r="G76" s="520" t="s">
        <v>1723</v>
      </c>
      <c r="H76" s="476"/>
      <c r="I76" s="476"/>
      <c r="J76" s="476"/>
      <c r="K76" s="521"/>
      <c r="L76" s="522"/>
      <c r="M76" s="523"/>
      <c r="N76" s="931"/>
      <c r="O76" s="931"/>
      <c r="P76" s="1920"/>
      <c r="Q76" s="451"/>
    </row>
    <row r="77" spans="1:17" ht="15.75" thickBot="1">
      <c r="A77" s="481"/>
      <c r="B77" s="490"/>
      <c r="C77" s="491">
        <v>100</v>
      </c>
      <c r="D77" s="491">
        <f>C77-$K15</f>
        <v>98</v>
      </c>
      <c r="E77" s="491">
        <f>D77-$K15</f>
        <v>96</v>
      </c>
      <c r="F77" s="491">
        <f>E77-$K15</f>
        <v>94</v>
      </c>
      <c r="G77" s="491">
        <f>F77-$K15</f>
        <v>92</v>
      </c>
      <c r="H77" s="491"/>
      <c r="I77" s="491"/>
      <c r="J77" s="491"/>
      <c r="K77" s="491"/>
      <c r="L77" s="491"/>
      <c r="M77" s="492"/>
      <c r="N77" s="932"/>
      <c r="O77" s="932"/>
      <c r="P77" s="1916"/>
      <c r="Q77" s="451"/>
    </row>
    <row r="78" spans="1:17" ht="15.75" thickTop="1">
      <c r="A78" s="481"/>
      <c r="B78" s="485" t="s">
        <v>1724</v>
      </c>
      <c r="C78" s="525" t="s">
        <v>1719</v>
      </c>
      <c r="D78" s="525" t="s">
        <v>1720</v>
      </c>
      <c r="E78" s="525" t="s">
        <v>1721</v>
      </c>
      <c r="F78" s="525" t="s">
        <v>1722</v>
      </c>
      <c r="G78" s="525" t="s">
        <v>1723</v>
      </c>
      <c r="H78" s="486"/>
      <c r="I78" s="486"/>
      <c r="J78" s="486"/>
      <c r="K78" s="487"/>
      <c r="L78" s="488"/>
      <c r="M78" s="489"/>
      <c r="N78" s="931"/>
      <c r="O78" s="931"/>
      <c r="P78" s="1916"/>
      <c r="Q78" s="451"/>
    </row>
    <row r="79" spans="1:17" ht="15.75" thickBot="1">
      <c r="A79" s="481"/>
      <c r="B79" s="490"/>
      <c r="C79" s="491">
        <v>100</v>
      </c>
      <c r="D79" s="491">
        <f>C79-$K17</f>
        <v>98</v>
      </c>
      <c r="E79" s="491">
        <f>D79-$K17</f>
        <v>96</v>
      </c>
      <c r="F79" s="491">
        <f>E79-$K17</f>
        <v>94</v>
      </c>
      <c r="G79" s="491">
        <f>F79-$K17</f>
        <v>92</v>
      </c>
      <c r="H79" s="491"/>
      <c r="I79" s="491"/>
      <c r="J79" s="491"/>
      <c r="K79" s="491"/>
      <c r="L79" s="491"/>
      <c r="M79" s="492"/>
      <c r="N79" s="932"/>
      <c r="O79" s="932"/>
      <c r="P79" s="1916"/>
      <c r="Q79" s="451"/>
    </row>
    <row r="80" spans="1:17" ht="15.75" thickTop="1">
      <c r="A80" s="481"/>
      <c r="B80" s="485" t="s">
        <v>1725</v>
      </c>
      <c r="C80" s="525" t="s">
        <v>1719</v>
      </c>
      <c r="D80" s="525" t="s">
        <v>1720</v>
      </c>
      <c r="E80" s="525" t="s">
        <v>1721</v>
      </c>
      <c r="F80" s="525" t="s">
        <v>1722</v>
      </c>
      <c r="G80" s="525" t="s">
        <v>1723</v>
      </c>
      <c r="H80" s="486"/>
      <c r="I80" s="486"/>
      <c r="J80" s="486"/>
      <c r="K80" s="487"/>
      <c r="L80" s="488"/>
      <c r="M80" s="489"/>
      <c r="N80" s="931"/>
      <c r="O80" s="931"/>
      <c r="P80" s="1916"/>
      <c r="Q80" s="451"/>
    </row>
    <row r="81" spans="1:17" ht="15.75" thickBot="1">
      <c r="A81" s="481"/>
      <c r="B81" s="490"/>
      <c r="C81" s="491">
        <v>100</v>
      </c>
      <c r="D81" s="491">
        <f>C81-$K19</f>
        <v>98</v>
      </c>
      <c r="E81" s="491">
        <f>D81-$K19</f>
        <v>96</v>
      </c>
      <c r="F81" s="491">
        <f>E81-$K19</f>
        <v>94</v>
      </c>
      <c r="G81" s="491">
        <f>F81-$K19</f>
        <v>92</v>
      </c>
      <c r="H81" s="491"/>
      <c r="I81" s="491"/>
      <c r="J81" s="491"/>
      <c r="K81" s="491"/>
      <c r="L81" s="491"/>
      <c r="M81" s="492"/>
      <c r="N81" s="932"/>
      <c r="O81" s="932"/>
      <c r="P81" s="1916"/>
      <c r="Q81" s="451"/>
    </row>
    <row r="82" spans="1:17" ht="15.75" thickTop="1">
      <c r="A82" s="481"/>
      <c r="B82" s="493" t="s">
        <v>1258</v>
      </c>
      <c r="C82" s="486" t="s">
        <v>1726</v>
      </c>
      <c r="D82" s="486" t="s">
        <v>1727</v>
      </c>
      <c r="E82" s="486" t="s">
        <v>1728</v>
      </c>
      <c r="F82" s="486" t="s">
        <v>1729</v>
      </c>
      <c r="G82" s="486" t="s">
        <v>1730</v>
      </c>
      <c r="H82" s="486"/>
      <c r="I82" s="486"/>
      <c r="J82" s="486"/>
      <c r="K82" s="486"/>
      <c r="L82" s="486"/>
      <c r="M82" s="1127"/>
      <c r="N82" s="932"/>
      <c r="O82" s="932"/>
      <c r="P82" s="1916"/>
      <c r="Q82" s="451"/>
    </row>
    <row r="83" spans="1:17" ht="15.75" thickBot="1">
      <c r="A83" s="481"/>
      <c r="B83" s="493"/>
      <c r="C83" s="606">
        <v>100</v>
      </c>
      <c r="D83" s="606">
        <f>C83-$K21</f>
        <v>99</v>
      </c>
      <c r="E83" s="606">
        <f t="shared" ref="E83:G83" si="22">D83-$K21</f>
        <v>98</v>
      </c>
      <c r="F83" s="606">
        <f t="shared" si="22"/>
        <v>97</v>
      </c>
      <c r="G83" s="606">
        <f t="shared" si="22"/>
        <v>96</v>
      </c>
      <c r="H83" s="606"/>
      <c r="I83" s="606"/>
      <c r="J83" s="606"/>
      <c r="K83" s="606"/>
      <c r="L83" s="606"/>
      <c r="M83" s="401"/>
      <c r="N83" s="932"/>
      <c r="O83" s="932"/>
      <c r="P83" s="1916"/>
      <c r="Q83" s="451"/>
    </row>
    <row r="84" spans="1:17" ht="15.75" thickTop="1">
      <c r="A84" s="481"/>
      <c r="B84" s="485" t="s">
        <v>1731</v>
      </c>
      <c r="C84" s="525" t="s">
        <v>1719</v>
      </c>
      <c r="D84" s="525" t="s">
        <v>1720</v>
      </c>
      <c r="E84" s="525" t="s">
        <v>1721</v>
      </c>
      <c r="F84" s="525" t="s">
        <v>1722</v>
      </c>
      <c r="G84" s="525" t="s">
        <v>1723</v>
      </c>
      <c r="H84" s="486"/>
      <c r="I84" s="486"/>
      <c r="J84" s="486"/>
      <c r="K84" s="487"/>
      <c r="L84" s="488"/>
      <c r="M84" s="489"/>
      <c r="N84" s="931"/>
      <c r="O84" s="931"/>
      <c r="P84" s="1916"/>
      <c r="Q84" s="451"/>
    </row>
    <row r="85" spans="1:17" ht="15.75" thickBot="1">
      <c r="A85" s="481"/>
      <c r="B85" s="490"/>
      <c r="C85" s="491">
        <v>100</v>
      </c>
      <c r="D85" s="491">
        <f>C85-$K23</f>
        <v>98</v>
      </c>
      <c r="E85" s="491">
        <f>D85-$K23</f>
        <v>96</v>
      </c>
      <c r="F85" s="491">
        <f>E85-$K23</f>
        <v>94</v>
      </c>
      <c r="G85" s="491">
        <f>F85-$K23</f>
        <v>92</v>
      </c>
      <c r="H85" s="491"/>
      <c r="I85" s="491"/>
      <c r="J85" s="491"/>
      <c r="K85" s="491"/>
      <c r="L85" s="491"/>
      <c r="M85" s="492"/>
      <c r="N85" s="932"/>
      <c r="O85" s="932"/>
      <c r="P85" s="1916"/>
      <c r="Q85" s="451"/>
    </row>
    <row r="86" spans="1:17" s="108" customFormat="1" ht="15.75" thickTop="1">
      <c r="A86" s="526"/>
      <c r="B86" s="485" t="s">
        <v>1732</v>
      </c>
      <c r="C86" s="501"/>
      <c r="D86" s="501"/>
      <c r="E86" s="501"/>
      <c r="F86" s="501"/>
      <c r="G86" s="501"/>
      <c r="H86" s="501"/>
      <c r="I86" s="501"/>
      <c r="J86" s="501"/>
      <c r="K86" s="501"/>
      <c r="L86" s="527"/>
      <c r="M86" s="528"/>
      <c r="N86" s="930"/>
      <c r="O86" s="930"/>
      <c r="P86" s="1916"/>
      <c r="Q86" s="451"/>
    </row>
    <row r="87" spans="1:17" s="108" customFormat="1" ht="15.75" thickBot="1">
      <c r="A87" s="526"/>
      <c r="B87" s="490"/>
      <c r="C87" s="529">
        <v>100</v>
      </c>
      <c r="D87" s="491">
        <f t="shared" ref="D87:M87" si="23">$C$87-($C$86-D86)*$K$25</f>
        <v>100</v>
      </c>
      <c r="E87" s="491">
        <f t="shared" si="23"/>
        <v>100</v>
      </c>
      <c r="F87" s="491">
        <f t="shared" si="23"/>
        <v>100</v>
      </c>
      <c r="G87" s="491">
        <f t="shared" si="23"/>
        <v>100</v>
      </c>
      <c r="H87" s="491">
        <f t="shared" si="23"/>
        <v>100</v>
      </c>
      <c r="I87" s="491">
        <f t="shared" si="23"/>
        <v>100</v>
      </c>
      <c r="J87" s="491">
        <f t="shared" si="23"/>
        <v>100</v>
      </c>
      <c r="K87" s="491">
        <f t="shared" si="23"/>
        <v>100</v>
      </c>
      <c r="L87" s="491">
        <f t="shared" si="23"/>
        <v>100</v>
      </c>
      <c r="M87" s="491">
        <f t="shared" si="23"/>
        <v>100</v>
      </c>
      <c r="N87" s="932"/>
      <c r="O87" s="932"/>
      <c r="P87" s="1916"/>
      <c r="Q87" s="451"/>
    </row>
    <row r="88" spans="1:17" s="108" customFormat="1" ht="15.75" thickTop="1">
      <c r="A88" s="526"/>
      <c r="B88" s="485" t="s">
        <v>1733</v>
      </c>
      <c r="C88" s="501"/>
      <c r="D88" s="501"/>
      <c r="E88" s="501"/>
      <c r="F88" s="1921"/>
      <c r="G88" s="501"/>
      <c r="H88" s="501"/>
      <c r="I88" s="501"/>
      <c r="J88" s="501"/>
      <c r="K88" s="501"/>
      <c r="L88" s="501"/>
      <c r="M88" s="528"/>
      <c r="N88" s="930"/>
      <c r="O88" s="930"/>
      <c r="P88" s="1916"/>
      <c r="Q88" s="451"/>
    </row>
    <row r="89" spans="1:17" s="108" customFormat="1" ht="15.75" thickBot="1">
      <c r="A89" s="526"/>
      <c r="B89" s="490"/>
      <c r="C89" s="529">
        <v>100</v>
      </c>
      <c r="D89" s="491">
        <f t="shared" ref="D89:M89" si="24">C89-$K26</f>
        <v>100</v>
      </c>
      <c r="E89" s="491">
        <f t="shared" si="24"/>
        <v>100</v>
      </c>
      <c r="F89" s="491">
        <f t="shared" si="24"/>
        <v>100</v>
      </c>
      <c r="G89" s="491">
        <f t="shared" si="24"/>
        <v>100</v>
      </c>
      <c r="H89" s="491">
        <f t="shared" si="24"/>
        <v>100</v>
      </c>
      <c r="I89" s="491">
        <f t="shared" si="24"/>
        <v>100</v>
      </c>
      <c r="J89" s="491">
        <f t="shared" si="24"/>
        <v>100</v>
      </c>
      <c r="K89" s="491">
        <f t="shared" si="24"/>
        <v>100</v>
      </c>
      <c r="L89" s="491">
        <f t="shared" si="24"/>
        <v>100</v>
      </c>
      <c r="M89" s="491">
        <f t="shared" si="24"/>
        <v>100</v>
      </c>
      <c r="N89" s="932"/>
      <c r="O89" s="932"/>
      <c r="P89" s="1916"/>
      <c r="Q89" s="451"/>
    </row>
    <row r="90" spans="1:17" s="422" customFormat="1" ht="15.75" thickTop="1">
      <c r="A90" s="500"/>
      <c r="B90" s="485">
        <f>B27</f>
        <v>111</v>
      </c>
      <c r="C90" s="501"/>
      <c r="D90" s="501"/>
      <c r="E90" s="501"/>
      <c r="F90" s="501"/>
      <c r="G90" s="501"/>
      <c r="H90" s="502"/>
      <c r="I90" s="502"/>
      <c r="J90" s="502"/>
      <c r="K90" s="502"/>
      <c r="L90" s="503"/>
      <c r="M90" s="504"/>
      <c r="N90" s="933"/>
      <c r="O90" s="933"/>
      <c r="P90" s="1917"/>
      <c r="Q90" s="506"/>
    </row>
    <row r="91" spans="1:17" s="422" customFormat="1" ht="15.75" thickBot="1">
      <c r="A91" s="500"/>
      <c r="B91" s="490"/>
      <c r="C91" s="507"/>
      <c r="D91" s="507"/>
      <c r="E91" s="507"/>
      <c r="F91" s="507"/>
      <c r="G91" s="507"/>
      <c r="H91" s="509"/>
      <c r="I91" s="509"/>
      <c r="J91" s="509"/>
      <c r="K91" s="509"/>
      <c r="L91" s="509"/>
      <c r="M91" s="510"/>
      <c r="N91" s="933"/>
      <c r="O91" s="933"/>
      <c r="P91" s="1917"/>
      <c r="Q91" s="506"/>
    </row>
    <row r="92" spans="1:17" ht="15.75" thickTop="1">
      <c r="A92" s="481"/>
      <c r="B92" s="485">
        <f>B28</f>
        <v>111</v>
      </c>
      <c r="C92" s="501"/>
      <c r="D92" s="501"/>
      <c r="E92" s="501"/>
      <c r="F92" s="501"/>
      <c r="G92" s="530"/>
      <c r="H92" s="530"/>
      <c r="I92" s="530"/>
      <c r="J92" s="530"/>
      <c r="K92" s="531"/>
      <c r="L92" s="532"/>
      <c r="M92" s="533"/>
      <c r="N92" s="931"/>
      <c r="O92" s="931"/>
      <c r="P92" s="1916"/>
      <c r="Q92" s="451"/>
    </row>
    <row r="93" spans="1:17" ht="15.75" thickBot="1">
      <c r="A93" s="481"/>
      <c r="B93" s="490"/>
      <c r="C93" s="507"/>
      <c r="D93" s="483"/>
      <c r="E93" s="483"/>
      <c r="F93" s="483"/>
      <c r="G93" s="483"/>
      <c r="H93" s="483"/>
      <c r="I93" s="483"/>
      <c r="J93" s="483"/>
      <c r="K93" s="483"/>
      <c r="L93" s="483"/>
      <c r="M93" s="484"/>
      <c r="N93" s="932"/>
      <c r="O93" s="932"/>
      <c r="P93" s="1916"/>
      <c r="Q93" s="451"/>
    </row>
    <row r="94" spans="1:17" ht="15.75" thickTop="1">
      <c r="A94" s="481"/>
      <c r="B94" s="485">
        <f>B29</f>
        <v>111</v>
      </c>
      <c r="C94" s="501"/>
      <c r="D94" s="501"/>
      <c r="E94" s="501"/>
      <c r="F94" s="501"/>
      <c r="G94" s="530"/>
      <c r="H94" s="530"/>
      <c r="I94" s="530"/>
      <c r="J94" s="530"/>
      <c r="K94" s="531"/>
      <c r="L94" s="532"/>
      <c r="M94" s="533"/>
      <c r="N94" s="931"/>
      <c r="O94" s="931"/>
      <c r="P94" s="1916"/>
      <c r="Q94" s="451"/>
    </row>
    <row r="95" spans="1:17" ht="15.75" thickBot="1">
      <c r="A95" s="481"/>
      <c r="B95" s="490"/>
      <c r="C95" s="507"/>
      <c r="D95" s="507"/>
      <c r="E95" s="507"/>
      <c r="F95" s="507"/>
      <c r="G95" s="483"/>
      <c r="H95" s="483"/>
      <c r="I95" s="483"/>
      <c r="J95" s="483"/>
      <c r="K95" s="483"/>
      <c r="L95" s="483"/>
      <c r="M95" s="484"/>
      <c r="N95" s="932"/>
      <c r="O95" s="932"/>
      <c r="P95" s="1916"/>
      <c r="Q95" s="451"/>
    </row>
    <row r="96" spans="1:17" ht="15.75" thickTop="1">
      <c r="A96" s="481"/>
      <c r="B96" s="485">
        <f>B30</f>
        <v>111</v>
      </c>
      <c r="C96" s="501"/>
      <c r="D96" s="501"/>
      <c r="E96" s="501"/>
      <c r="F96" s="501"/>
      <c r="G96" s="530"/>
      <c r="H96" s="530"/>
      <c r="I96" s="530"/>
      <c r="J96" s="530"/>
      <c r="K96" s="531"/>
      <c r="L96" s="532"/>
      <c r="M96" s="533"/>
      <c r="N96" s="931"/>
      <c r="O96" s="931"/>
      <c r="P96" s="1916"/>
      <c r="Q96" s="451"/>
    </row>
    <row r="97" spans="1:17" ht="15.75" thickBot="1">
      <c r="A97" s="481"/>
      <c r="B97" s="490"/>
      <c r="C97" s="517"/>
      <c r="D97" s="517"/>
      <c r="E97" s="517"/>
      <c r="F97" s="517"/>
      <c r="G97" s="483"/>
      <c r="H97" s="483"/>
      <c r="I97" s="483"/>
      <c r="J97" s="483"/>
      <c r="K97" s="483"/>
      <c r="L97" s="483"/>
      <c r="M97" s="484"/>
      <c r="N97" s="932"/>
      <c r="O97" s="932"/>
      <c r="P97" s="1916"/>
      <c r="Q97" s="451"/>
    </row>
    <row r="98" spans="1:17" ht="15.75" thickTop="1">
      <c r="A98" s="481"/>
      <c r="B98" s="493">
        <f>B31</f>
        <v>111</v>
      </c>
      <c r="C98" s="534"/>
      <c r="D98" s="534"/>
      <c r="E98" s="534"/>
      <c r="F98" s="534"/>
      <c r="G98" s="534"/>
      <c r="H98" s="534"/>
      <c r="I98" s="534"/>
      <c r="J98" s="534"/>
      <c r="K98" s="535"/>
      <c r="L98" s="536"/>
      <c r="M98" s="537"/>
      <c r="N98" s="931"/>
      <c r="O98" s="931"/>
      <c r="P98" s="1916"/>
      <c r="Q98" s="451"/>
    </row>
    <row r="99" spans="1:17" ht="15.75" thickBot="1">
      <c r="A99" s="1922"/>
      <c r="B99" s="516"/>
      <c r="C99" s="538"/>
      <c r="D99" s="538"/>
      <c r="E99" s="538"/>
      <c r="F99" s="538"/>
      <c r="G99" s="538"/>
      <c r="H99" s="538"/>
      <c r="I99" s="538"/>
      <c r="J99" s="538"/>
      <c r="K99" s="538"/>
      <c r="L99" s="538"/>
      <c r="M99" s="539"/>
      <c r="N99" s="932"/>
      <c r="O99" s="932"/>
      <c r="P99" s="1916"/>
      <c r="Q99" s="451"/>
    </row>
    <row r="100" spans="1:17">
      <c r="A100" s="474" t="s">
        <v>1692</v>
      </c>
      <c r="B100" s="475" t="s">
        <v>1734</v>
      </c>
      <c r="C100" s="477" t="s">
        <v>3857</v>
      </c>
      <c r="D100" s="477" t="s">
        <v>3858</v>
      </c>
      <c r="E100" s="477"/>
      <c r="F100" s="477"/>
      <c r="G100" s="477"/>
      <c r="H100" s="477"/>
      <c r="I100" s="477"/>
      <c r="J100" s="477"/>
      <c r="K100" s="478"/>
      <c r="L100" s="479"/>
      <c r="M100" s="480"/>
      <c r="N100" s="931"/>
      <c r="O100" s="931"/>
      <c r="P100" s="1916"/>
      <c r="Q100" s="451"/>
    </row>
    <row r="101" spans="1:17" ht="15.75" thickBot="1">
      <c r="A101" s="481"/>
      <c r="B101" s="490"/>
      <c r="C101" s="491">
        <v>100</v>
      </c>
      <c r="D101" s="491">
        <f t="shared" ref="D101:M101" si="25">C101-$K32</f>
        <v>95</v>
      </c>
      <c r="E101" s="491">
        <f t="shared" si="25"/>
        <v>90</v>
      </c>
      <c r="F101" s="491">
        <f t="shared" si="25"/>
        <v>85</v>
      </c>
      <c r="G101" s="491">
        <f t="shared" si="25"/>
        <v>80</v>
      </c>
      <c r="H101" s="491">
        <f t="shared" si="25"/>
        <v>75</v>
      </c>
      <c r="I101" s="491">
        <f t="shared" si="25"/>
        <v>70</v>
      </c>
      <c r="J101" s="491">
        <f t="shared" si="25"/>
        <v>65</v>
      </c>
      <c r="K101" s="491">
        <f t="shared" si="25"/>
        <v>60</v>
      </c>
      <c r="L101" s="491">
        <f t="shared" si="25"/>
        <v>55</v>
      </c>
      <c r="M101" s="491">
        <f t="shared" si="25"/>
        <v>50</v>
      </c>
      <c r="N101" s="932"/>
      <c r="O101" s="932"/>
      <c r="P101" s="1916"/>
      <c r="Q101" s="451"/>
    </row>
    <row r="102" spans="1:17" ht="29.25" thickTop="1">
      <c r="A102" s="481"/>
      <c r="B102" s="485" t="s">
        <v>1735</v>
      </c>
      <c r="C102" s="525" t="str">
        <f>C103&amp;"(含)"&amp;"-"&amp;D103</f>
        <v>0(含)-50000</v>
      </c>
      <c r="D102" s="525" t="str">
        <f t="shared" ref="D102:L102" si="26">D103&amp;"(含)"&amp;"-"&amp;E103</f>
        <v>50000(含)-100000</v>
      </c>
      <c r="E102" s="525" t="str">
        <f t="shared" si="26"/>
        <v>100000(含)-150000</v>
      </c>
      <c r="F102" s="525" t="str">
        <f t="shared" si="26"/>
        <v>150000(含)-200000</v>
      </c>
      <c r="G102" s="525" t="str">
        <f t="shared" si="26"/>
        <v>200000(含)-</v>
      </c>
      <c r="H102" s="525" t="str">
        <f t="shared" si="26"/>
        <v>(含)-</v>
      </c>
      <c r="I102" s="525" t="str">
        <f t="shared" si="26"/>
        <v>(含)-</v>
      </c>
      <c r="J102" s="525" t="str">
        <f t="shared" si="26"/>
        <v>(含)-</v>
      </c>
      <c r="K102" s="525" t="str">
        <f>K103&amp;"(含)"&amp;"-"&amp;L103</f>
        <v>(含)-</v>
      </c>
      <c r="L102" s="525" t="str">
        <f t="shared" si="26"/>
        <v>(含)-</v>
      </c>
      <c r="M102" s="525" t="str">
        <f>M103&amp;"(含)"&amp;"-"&amp;P103</f>
        <v>(含)-</v>
      </c>
      <c r="N102" s="930"/>
      <c r="O102" s="930"/>
      <c r="P102" s="1916"/>
      <c r="Q102" s="451"/>
    </row>
    <row r="103" spans="1:17" s="422" customFormat="1">
      <c r="A103" s="540"/>
      <c r="B103" s="541"/>
      <c r="C103" s="542">
        <v>0</v>
      </c>
      <c r="D103" s="542">
        <v>50000</v>
      </c>
      <c r="E103" s="542">
        <v>100000</v>
      </c>
      <c r="F103" s="542">
        <v>150000</v>
      </c>
      <c r="G103" s="542">
        <v>200000</v>
      </c>
      <c r="H103" s="542"/>
      <c r="I103" s="542"/>
      <c r="J103" s="543"/>
      <c r="K103" s="543"/>
      <c r="L103" s="544"/>
      <c r="M103" s="545"/>
      <c r="N103" s="933"/>
      <c r="O103" s="933"/>
      <c r="P103" s="1917"/>
      <c r="Q103" s="506"/>
    </row>
    <row r="104" spans="1:17" s="422" customFormat="1" ht="15.75" thickBot="1">
      <c r="A104" s="500"/>
      <c r="B104" s="490"/>
      <c r="C104" s="507">
        <v>100</v>
      </c>
      <c r="D104" s="483">
        <v>102</v>
      </c>
      <c r="E104" s="483">
        <v>104</v>
      </c>
      <c r="F104" s="483">
        <v>106</v>
      </c>
      <c r="G104" s="483">
        <v>108</v>
      </c>
      <c r="H104" s="483"/>
      <c r="I104" s="483"/>
      <c r="J104" s="483"/>
      <c r="K104" s="483"/>
      <c r="L104" s="483"/>
      <c r="M104" s="483"/>
      <c r="N104" s="932"/>
      <c r="O104" s="932"/>
      <c r="P104" s="1917"/>
      <c r="Q104" s="506"/>
    </row>
    <row r="105" spans="1:17" ht="15" thickTop="1">
      <c r="A105" s="546"/>
      <c r="B105" s="485" t="s">
        <v>1736</v>
      </c>
      <c r="C105" s="3467" t="s">
        <v>3859</v>
      </c>
      <c r="D105" s="3467" t="s">
        <v>3860</v>
      </c>
      <c r="E105" s="3468" t="s">
        <v>3861</v>
      </c>
      <c r="F105" s="3468" t="s">
        <v>3862</v>
      </c>
      <c r="G105" s="530"/>
      <c r="H105" s="530"/>
      <c r="I105" s="530"/>
      <c r="J105" s="530"/>
      <c r="K105" s="531"/>
      <c r="L105" s="532"/>
      <c r="M105" s="533"/>
      <c r="N105" s="931"/>
      <c r="O105" s="931"/>
      <c r="P105" s="1916"/>
      <c r="Q105" s="451"/>
    </row>
    <row r="106" spans="1:17" ht="15.75" thickBot="1">
      <c r="A106" s="481"/>
      <c r="B106" s="490"/>
      <c r="C106" s="491">
        <v>100</v>
      </c>
      <c r="D106" s="491">
        <f t="shared" ref="D106:M106" si="27">C106-$K34</f>
        <v>98</v>
      </c>
      <c r="E106" s="491">
        <f t="shared" si="27"/>
        <v>96</v>
      </c>
      <c r="F106" s="491">
        <f t="shared" si="27"/>
        <v>94</v>
      </c>
      <c r="G106" s="491">
        <f t="shared" si="27"/>
        <v>92</v>
      </c>
      <c r="H106" s="491">
        <f t="shared" si="27"/>
        <v>90</v>
      </c>
      <c r="I106" s="491">
        <f t="shared" si="27"/>
        <v>88</v>
      </c>
      <c r="J106" s="491">
        <f t="shared" si="27"/>
        <v>86</v>
      </c>
      <c r="K106" s="491">
        <f t="shared" si="27"/>
        <v>84</v>
      </c>
      <c r="L106" s="491">
        <f t="shared" si="27"/>
        <v>82</v>
      </c>
      <c r="M106" s="491">
        <f t="shared" si="27"/>
        <v>80</v>
      </c>
      <c r="N106" s="932"/>
      <c r="O106" s="932"/>
      <c r="P106" s="1916"/>
      <c r="Q106" s="451"/>
    </row>
    <row r="107" spans="1:17" ht="15" thickTop="1">
      <c r="A107" s="546"/>
      <c r="B107" s="485" t="s">
        <v>1737</v>
      </c>
      <c r="C107" s="3468" t="s">
        <v>3863</v>
      </c>
      <c r="D107" s="3468" t="s">
        <v>3864</v>
      </c>
      <c r="E107" s="3468" t="s">
        <v>3865</v>
      </c>
      <c r="F107" s="530"/>
      <c r="G107" s="530"/>
      <c r="H107" s="530"/>
      <c r="I107" s="530"/>
      <c r="J107" s="530"/>
      <c r="K107" s="531"/>
      <c r="L107" s="532"/>
      <c r="M107" s="533"/>
      <c r="N107" s="931"/>
      <c r="O107" s="931"/>
      <c r="P107" s="1916"/>
      <c r="Q107" s="451"/>
    </row>
    <row r="108" spans="1:17" ht="15.75" thickBot="1">
      <c r="A108" s="481"/>
      <c r="B108" s="490"/>
      <c r="C108" s="491">
        <v>100</v>
      </c>
      <c r="D108" s="491">
        <f t="shared" ref="D108:M108" si="28">C108-$K35</f>
        <v>98</v>
      </c>
      <c r="E108" s="491">
        <f t="shared" si="28"/>
        <v>96</v>
      </c>
      <c r="F108" s="491">
        <f t="shared" si="28"/>
        <v>94</v>
      </c>
      <c r="G108" s="491">
        <f t="shared" si="28"/>
        <v>92</v>
      </c>
      <c r="H108" s="491">
        <f t="shared" si="28"/>
        <v>90</v>
      </c>
      <c r="I108" s="491">
        <f t="shared" si="28"/>
        <v>88</v>
      </c>
      <c r="J108" s="491">
        <f t="shared" si="28"/>
        <v>86</v>
      </c>
      <c r="K108" s="491">
        <f t="shared" si="28"/>
        <v>84</v>
      </c>
      <c r="L108" s="491">
        <f t="shared" si="28"/>
        <v>82</v>
      </c>
      <c r="M108" s="491">
        <f t="shared" si="28"/>
        <v>80</v>
      </c>
      <c r="N108" s="932"/>
      <c r="O108" s="932"/>
      <c r="P108" s="1916"/>
      <c r="Q108" s="451"/>
    </row>
    <row r="109" spans="1:17" ht="15" thickTop="1">
      <c r="A109" s="546"/>
      <c r="B109" s="485" t="s">
        <v>1738</v>
      </c>
      <c r="C109" s="3467" t="s">
        <v>3866</v>
      </c>
      <c r="D109" s="3467" t="s">
        <v>3867</v>
      </c>
      <c r="E109" s="3467" t="s">
        <v>3868</v>
      </c>
      <c r="F109" s="3468" t="s">
        <v>3869</v>
      </c>
      <c r="G109" s="3468" t="s">
        <v>3870</v>
      </c>
      <c r="H109" s="530"/>
      <c r="I109" s="530"/>
      <c r="J109" s="530"/>
      <c r="K109" s="531"/>
      <c r="L109" s="532"/>
      <c r="M109" s="533"/>
      <c r="N109" s="931"/>
      <c r="O109" s="931"/>
      <c r="P109" s="1916"/>
      <c r="Q109" s="451"/>
    </row>
    <row r="110" spans="1:17" ht="15.75" thickBot="1">
      <c r="A110" s="481"/>
      <c r="B110" s="490"/>
      <c r="C110" s="491">
        <v>100</v>
      </c>
      <c r="D110" s="491">
        <f t="shared" ref="D110:M110" si="29">C110-$K36</f>
        <v>98</v>
      </c>
      <c r="E110" s="491">
        <f t="shared" si="29"/>
        <v>96</v>
      </c>
      <c r="F110" s="491">
        <f t="shared" si="29"/>
        <v>94</v>
      </c>
      <c r="G110" s="491">
        <f t="shared" si="29"/>
        <v>92</v>
      </c>
      <c r="H110" s="491">
        <f t="shared" si="29"/>
        <v>90</v>
      </c>
      <c r="I110" s="491">
        <f t="shared" si="29"/>
        <v>88</v>
      </c>
      <c r="J110" s="491">
        <f t="shared" si="29"/>
        <v>86</v>
      </c>
      <c r="K110" s="491">
        <f t="shared" si="29"/>
        <v>84</v>
      </c>
      <c r="L110" s="491">
        <f t="shared" si="29"/>
        <v>82</v>
      </c>
      <c r="M110" s="491">
        <f t="shared" si="29"/>
        <v>80</v>
      </c>
      <c r="N110" s="932"/>
      <c r="O110" s="932"/>
      <c r="P110" s="1916"/>
      <c r="Q110" s="451"/>
    </row>
    <row r="111" spans="1:17" s="422" customFormat="1" ht="15" thickTop="1">
      <c r="A111" s="540"/>
      <c r="B111" s="485" t="s">
        <v>1188</v>
      </c>
      <c r="C111" s="525" t="str">
        <f>C112&amp;"(含)"&amp;"-"&amp;D112</f>
        <v>0.5(含)-0.6</v>
      </c>
      <c r="D111" s="525" t="str">
        <f>D112&amp;"(含)"&amp;"-"&amp;E112</f>
        <v>0.6(含)-0.7</v>
      </c>
      <c r="E111" s="525" t="str">
        <f>E112&amp;"(含)"&amp;"-"&amp;F112</f>
        <v>0.7(含)-0.8</v>
      </c>
      <c r="F111" s="525" t="str">
        <f>F112&amp;"(含)"&amp;"-"&amp;G112</f>
        <v>0.8(含)-0.9</v>
      </c>
      <c r="G111" s="525" t="str">
        <f>G112&amp;"(含)"&amp;"-"&amp;ROUND(H112,0)&amp;"(含)"</f>
        <v>0.9(含)-1(含)</v>
      </c>
      <c r="H111" s="525" t="str">
        <f>ROUND(H112,0)&amp;"(含)"&amp;"-"&amp;I112</f>
        <v>1(含)-</v>
      </c>
      <c r="I111" s="525"/>
      <c r="J111" s="547"/>
      <c r="K111" s="547"/>
      <c r="L111" s="548"/>
      <c r="M111" s="549"/>
      <c r="N111" s="933"/>
      <c r="O111" s="933"/>
      <c r="P111" s="1917"/>
      <c r="Q111" s="506"/>
    </row>
    <row r="112" spans="1:17" s="422" customFormat="1">
      <c r="A112" s="540"/>
      <c r="B112" s="493"/>
      <c r="C112" s="550">
        <v>0.5</v>
      </c>
      <c r="D112" s="550">
        <v>0.6</v>
      </c>
      <c r="E112" s="550">
        <v>0.7</v>
      </c>
      <c r="F112" s="550">
        <v>0.8</v>
      </c>
      <c r="G112" s="550">
        <v>0.9</v>
      </c>
      <c r="H112" s="550">
        <v>1.0001</v>
      </c>
      <c r="I112" s="550"/>
      <c r="J112" s="551"/>
      <c r="K112" s="551"/>
      <c r="L112" s="552"/>
      <c r="M112" s="553"/>
      <c r="N112" s="933"/>
      <c r="O112" s="933"/>
      <c r="P112" s="1917"/>
      <c r="Q112" s="506"/>
    </row>
    <row r="113" spans="1:17" s="422" customFormat="1" ht="15.75" thickBot="1">
      <c r="A113" s="500"/>
      <c r="B113" s="490"/>
      <c r="C113" s="529">
        <v>100</v>
      </c>
      <c r="D113" s="491">
        <f>C113+$K37</f>
        <v>101</v>
      </c>
      <c r="E113" s="491">
        <f>D113+$K37</f>
        <v>102</v>
      </c>
      <c r="F113" s="491">
        <f>E113+$K37</f>
        <v>103</v>
      </c>
      <c r="G113" s="491">
        <f>F113+$K37</f>
        <v>104</v>
      </c>
      <c r="H113" s="491">
        <f>G113+$K37</f>
        <v>105</v>
      </c>
      <c r="I113" s="529"/>
      <c r="J113" s="554"/>
      <c r="K113" s="554"/>
      <c r="L113" s="554"/>
      <c r="M113" s="555"/>
      <c r="N113" s="933"/>
      <c r="O113" s="933"/>
      <c r="P113" s="1917"/>
      <c r="Q113" s="506"/>
    </row>
    <row r="114" spans="1:17" ht="15" thickTop="1">
      <c r="A114" s="546"/>
      <c r="B114" s="485" t="s">
        <v>1739</v>
      </c>
      <c r="C114" s="3467" t="s">
        <v>3871</v>
      </c>
      <c r="D114" s="3467" t="s">
        <v>3872</v>
      </c>
      <c r="E114" s="3468" t="s">
        <v>3873</v>
      </c>
      <c r="F114" s="3468" t="s">
        <v>3874</v>
      </c>
      <c r="G114" s="530"/>
      <c r="H114" s="530"/>
      <c r="I114" s="530"/>
      <c r="J114" s="530"/>
      <c r="K114" s="531"/>
      <c r="L114" s="532"/>
      <c r="M114" s="533"/>
      <c r="N114" s="931"/>
      <c r="O114" s="931"/>
      <c r="P114" s="1916"/>
      <c r="Q114" s="451"/>
    </row>
    <row r="115" spans="1:17" ht="15.75" thickBot="1">
      <c r="A115" s="481"/>
      <c r="B115" s="490"/>
      <c r="C115" s="491">
        <v>100</v>
      </c>
      <c r="D115" s="491">
        <f t="shared" ref="D115:M115" si="30">C115-$K38</f>
        <v>98</v>
      </c>
      <c r="E115" s="491">
        <f t="shared" si="30"/>
        <v>96</v>
      </c>
      <c r="F115" s="491">
        <f t="shared" si="30"/>
        <v>94</v>
      </c>
      <c r="G115" s="491">
        <f t="shared" si="30"/>
        <v>92</v>
      </c>
      <c r="H115" s="491">
        <f t="shared" si="30"/>
        <v>90</v>
      </c>
      <c r="I115" s="491">
        <f t="shared" si="30"/>
        <v>88</v>
      </c>
      <c r="J115" s="491">
        <f t="shared" si="30"/>
        <v>86</v>
      </c>
      <c r="K115" s="491">
        <f t="shared" si="30"/>
        <v>84</v>
      </c>
      <c r="L115" s="491">
        <f t="shared" si="30"/>
        <v>82</v>
      </c>
      <c r="M115" s="491">
        <f t="shared" si="30"/>
        <v>80</v>
      </c>
      <c r="N115" s="932"/>
      <c r="O115" s="932"/>
      <c r="P115" s="1916"/>
      <c r="Q115" s="451"/>
    </row>
    <row r="116" spans="1:17" ht="15" thickTop="1">
      <c r="A116" s="546"/>
      <c r="B116" s="485" t="s">
        <v>1740</v>
      </c>
      <c r="C116" s="501" t="str">
        <f>C82</f>
        <v>七通</v>
      </c>
      <c r="D116" s="501" t="str">
        <f>D82</f>
        <v>六通</v>
      </c>
      <c r="E116" s="501" t="str">
        <f>E82</f>
        <v>五通</v>
      </c>
      <c r="F116" s="501" t="str">
        <f>F82</f>
        <v>四通</v>
      </c>
      <c r="G116" s="501" t="str">
        <f>G82</f>
        <v>三通</v>
      </c>
      <c r="H116" s="530"/>
      <c r="I116" s="530"/>
      <c r="J116" s="530"/>
      <c r="K116" s="531"/>
      <c r="L116" s="532"/>
      <c r="M116" s="533"/>
      <c r="N116" s="931"/>
      <c r="O116" s="931"/>
      <c r="P116" s="1916"/>
      <c r="Q116" s="451"/>
    </row>
    <row r="117" spans="1:17" ht="15.75" thickBot="1">
      <c r="A117" s="481"/>
      <c r="B117" s="490"/>
      <c r="C117" s="491">
        <v>100</v>
      </c>
      <c r="D117" s="491">
        <f>C117-$K39</f>
        <v>99</v>
      </c>
      <c r="E117" s="491">
        <f>D117-$K39</f>
        <v>98</v>
      </c>
      <c r="F117" s="491">
        <f>E117-$K39</f>
        <v>97</v>
      </c>
      <c r="G117" s="491">
        <f>F117-$K39</f>
        <v>96</v>
      </c>
      <c r="H117" s="491"/>
      <c r="I117" s="491"/>
      <c r="J117" s="491"/>
      <c r="K117" s="491"/>
      <c r="L117" s="491"/>
      <c r="M117" s="492"/>
      <c r="N117" s="932"/>
      <c r="O117" s="932"/>
      <c r="P117" s="1916"/>
      <c r="Q117" s="451"/>
    </row>
    <row r="118" spans="1:17" ht="15" thickTop="1">
      <c r="A118" s="546"/>
      <c r="B118" s="485" t="s">
        <v>1741</v>
      </c>
      <c r="C118" s="530"/>
      <c r="D118" s="530"/>
      <c r="E118" s="530"/>
      <c r="F118" s="530"/>
      <c r="G118" s="530"/>
      <c r="H118" s="530"/>
      <c r="I118" s="530"/>
      <c r="J118" s="530"/>
      <c r="K118" s="531"/>
      <c r="L118" s="532"/>
      <c r="M118" s="533"/>
      <c r="N118" s="931"/>
      <c r="O118" s="931"/>
      <c r="P118" s="1916"/>
      <c r="Q118" s="451"/>
    </row>
    <row r="119" spans="1:17" ht="15.75" thickBot="1">
      <c r="A119" s="481"/>
      <c r="B119" s="490"/>
      <c r="C119" s="491">
        <v>100</v>
      </c>
      <c r="D119" s="491">
        <f t="shared" ref="D119:M119" si="31">C119-$K40</f>
        <v>100</v>
      </c>
      <c r="E119" s="491">
        <f t="shared" si="31"/>
        <v>100</v>
      </c>
      <c r="F119" s="491">
        <f t="shared" si="31"/>
        <v>100</v>
      </c>
      <c r="G119" s="491">
        <f t="shared" si="31"/>
        <v>100</v>
      </c>
      <c r="H119" s="491">
        <f t="shared" si="31"/>
        <v>100</v>
      </c>
      <c r="I119" s="491">
        <f t="shared" si="31"/>
        <v>100</v>
      </c>
      <c r="J119" s="491">
        <f t="shared" si="31"/>
        <v>100</v>
      </c>
      <c r="K119" s="491">
        <f t="shared" si="31"/>
        <v>100</v>
      </c>
      <c r="L119" s="491">
        <f t="shared" si="31"/>
        <v>100</v>
      </c>
      <c r="M119" s="491">
        <f t="shared" si="31"/>
        <v>100</v>
      </c>
      <c r="N119" s="932"/>
      <c r="O119" s="932"/>
      <c r="P119" s="1916"/>
      <c r="Q119" s="451"/>
    </row>
    <row r="120" spans="1:17" s="422" customFormat="1" ht="28.5" thickTop="1">
      <c r="A120" s="540"/>
      <c r="B120" s="485" t="s">
        <v>1703</v>
      </c>
      <c r="C120" s="501"/>
      <c r="D120" s="501"/>
      <c r="E120" s="501"/>
      <c r="F120" s="501"/>
      <c r="G120" s="501"/>
      <c r="H120" s="501"/>
      <c r="I120" s="501"/>
      <c r="J120" s="501"/>
      <c r="K120" s="501"/>
      <c r="L120" s="527"/>
      <c r="M120" s="528"/>
      <c r="N120" s="933"/>
      <c r="O120" s="933"/>
      <c r="P120" s="1917"/>
      <c r="Q120" s="506"/>
    </row>
    <row r="121" spans="1:17" s="422" customFormat="1" ht="15.75" thickBot="1">
      <c r="A121" s="500"/>
      <c r="B121" s="482"/>
      <c r="C121" s="507"/>
      <c r="D121" s="483"/>
      <c r="E121" s="483"/>
      <c r="F121" s="483"/>
      <c r="G121" s="483"/>
      <c r="H121" s="483"/>
      <c r="I121" s="483"/>
      <c r="J121" s="483"/>
      <c r="K121" s="483"/>
      <c r="L121" s="483"/>
      <c r="M121" s="483"/>
      <c r="N121" s="933"/>
      <c r="O121" s="933"/>
      <c r="P121" s="1917"/>
      <c r="Q121" s="506"/>
    </row>
    <row r="122" spans="1:17" ht="15" thickTop="1">
      <c r="A122" s="546"/>
      <c r="B122" s="485" t="s">
        <v>1742</v>
      </c>
      <c r="C122" s="501" t="str">
        <f>C109</f>
        <v>豪华装修</v>
      </c>
      <c r="D122" s="501" t="str">
        <f>D109</f>
        <v>精装修</v>
      </c>
      <c r="E122" s="501" t="str">
        <f>E109</f>
        <v>普通装修</v>
      </c>
      <c r="F122" s="501" t="str">
        <f>F109</f>
        <v>简单装修</v>
      </c>
      <c r="G122" s="501" t="str">
        <f>G109</f>
        <v>毛坯</v>
      </c>
      <c r="H122" s="530"/>
      <c r="I122" s="530"/>
      <c r="J122" s="530"/>
      <c r="K122" s="531"/>
      <c r="L122" s="532"/>
      <c r="M122" s="533"/>
      <c r="N122" s="931"/>
      <c r="O122" s="931"/>
      <c r="P122" s="1916"/>
      <c r="Q122" s="451"/>
    </row>
    <row r="123" spans="1:17" ht="15.75" thickBot="1">
      <c r="A123" s="481"/>
      <c r="B123" s="490"/>
      <c r="C123" s="491">
        <v>100</v>
      </c>
      <c r="D123" s="491">
        <f t="shared" ref="D123:M123" si="32">C123-$K42</f>
        <v>98</v>
      </c>
      <c r="E123" s="491">
        <f t="shared" si="32"/>
        <v>96</v>
      </c>
      <c r="F123" s="491">
        <f t="shared" si="32"/>
        <v>94</v>
      </c>
      <c r="G123" s="491">
        <f t="shared" si="32"/>
        <v>92</v>
      </c>
      <c r="H123" s="491">
        <f t="shared" si="32"/>
        <v>90</v>
      </c>
      <c r="I123" s="491">
        <f t="shared" si="32"/>
        <v>88</v>
      </c>
      <c r="J123" s="491">
        <f t="shared" si="32"/>
        <v>86</v>
      </c>
      <c r="K123" s="491">
        <f t="shared" si="32"/>
        <v>84</v>
      </c>
      <c r="L123" s="491">
        <f t="shared" si="32"/>
        <v>82</v>
      </c>
      <c r="M123" s="491">
        <f t="shared" si="32"/>
        <v>80</v>
      </c>
      <c r="N123" s="932"/>
      <c r="O123" s="932"/>
      <c r="P123" s="1916"/>
      <c r="Q123" s="451"/>
    </row>
    <row r="124" spans="1:17" ht="15" thickTop="1">
      <c r="A124" s="546"/>
      <c r="B124" s="485" t="s">
        <v>1743</v>
      </c>
      <c r="C124" s="525" t="s">
        <v>1719</v>
      </c>
      <c r="D124" s="525" t="s">
        <v>1720</v>
      </c>
      <c r="E124" s="525" t="s">
        <v>1721</v>
      </c>
      <c r="F124" s="525" t="s">
        <v>1722</v>
      </c>
      <c r="G124" s="525" t="s">
        <v>1723</v>
      </c>
      <c r="H124" s="486"/>
      <c r="I124" s="486"/>
      <c r="J124" s="486"/>
      <c r="K124" s="487"/>
      <c r="L124" s="488"/>
      <c r="M124" s="489"/>
      <c r="N124" s="931"/>
      <c r="O124" s="931"/>
      <c r="P124" s="1917"/>
      <c r="Q124" s="451"/>
    </row>
    <row r="125" spans="1:17" ht="15.75" thickBot="1">
      <c r="A125" s="481"/>
      <c r="B125" s="490"/>
      <c r="C125" s="491">
        <v>100</v>
      </c>
      <c r="D125" s="491">
        <f>C125-$K43</f>
        <v>98</v>
      </c>
      <c r="E125" s="491">
        <f>D125-$K43</f>
        <v>96</v>
      </c>
      <c r="F125" s="491">
        <f>E125-$K43</f>
        <v>94</v>
      </c>
      <c r="G125" s="491">
        <f>F125-$K43</f>
        <v>92</v>
      </c>
      <c r="H125" s="491"/>
      <c r="I125" s="491"/>
      <c r="J125" s="491"/>
      <c r="K125" s="491"/>
      <c r="L125" s="491"/>
      <c r="M125" s="492"/>
      <c r="N125" s="932"/>
      <c r="O125" s="932"/>
      <c r="P125" s="1916"/>
      <c r="Q125" s="451"/>
    </row>
    <row r="126" spans="1:17" s="422" customFormat="1" ht="15" thickTop="1">
      <c r="A126" s="540"/>
      <c r="B126" s="485">
        <f>B44</f>
        <v>111</v>
      </c>
      <c r="C126" s="501"/>
      <c r="D126" s="501"/>
      <c r="E126" s="501"/>
      <c r="F126" s="501"/>
      <c r="G126" s="501"/>
      <c r="H126" s="502"/>
      <c r="I126" s="502"/>
      <c r="J126" s="502"/>
      <c r="K126" s="502"/>
      <c r="L126" s="503"/>
      <c r="M126" s="504"/>
      <c r="N126" s="933"/>
      <c r="O126" s="933"/>
      <c r="P126" s="1917"/>
      <c r="Q126" s="506"/>
    </row>
    <row r="127" spans="1:17" s="422" customFormat="1" ht="15.75" thickBot="1">
      <c r="A127" s="500"/>
      <c r="B127" s="490"/>
      <c r="C127" s="507"/>
      <c r="D127" s="483"/>
      <c r="E127" s="483"/>
      <c r="F127" s="483"/>
      <c r="G127" s="507"/>
      <c r="H127" s="509"/>
      <c r="I127" s="509"/>
      <c r="J127" s="509"/>
      <c r="K127" s="509"/>
      <c r="L127" s="509"/>
      <c r="M127" s="510"/>
      <c r="N127" s="933"/>
      <c r="O127" s="933"/>
      <c r="P127" s="1917"/>
      <c r="Q127" s="506"/>
    </row>
    <row r="128" spans="1:17" ht="15" thickTop="1">
      <c r="A128" s="546"/>
      <c r="B128" s="485">
        <f>B45</f>
        <v>111</v>
      </c>
      <c r="C128" s="501"/>
      <c r="D128" s="501"/>
      <c r="E128" s="501"/>
      <c r="F128" s="501"/>
      <c r="G128" s="530"/>
      <c r="H128" s="530"/>
      <c r="I128" s="530"/>
      <c r="J128" s="530"/>
      <c r="K128" s="531"/>
      <c r="L128" s="532"/>
      <c r="M128" s="533"/>
      <c r="N128" s="931"/>
      <c r="O128" s="931"/>
      <c r="P128" s="1916"/>
      <c r="Q128" s="451"/>
    </row>
    <row r="129" spans="1:17" ht="15.75" thickBot="1">
      <c r="A129" s="481"/>
      <c r="B129" s="490"/>
      <c r="C129" s="507"/>
      <c r="D129" s="507"/>
      <c r="E129" s="507"/>
      <c r="F129" s="507"/>
      <c r="G129" s="483"/>
      <c r="H129" s="483"/>
      <c r="I129" s="483"/>
      <c r="J129" s="483"/>
      <c r="K129" s="483"/>
      <c r="L129" s="483"/>
      <c r="M129" s="484"/>
      <c r="N129" s="932"/>
      <c r="O129" s="932"/>
      <c r="P129" s="1916"/>
      <c r="Q129" s="451"/>
    </row>
    <row r="130" spans="1:17" ht="15" thickTop="1">
      <c r="A130" s="546"/>
      <c r="B130" s="493">
        <f>B46</f>
        <v>111</v>
      </c>
      <c r="C130" s="501"/>
      <c r="D130" s="501"/>
      <c r="E130" s="501"/>
      <c r="F130" s="501"/>
      <c r="G130" s="534"/>
      <c r="H130" s="534"/>
      <c r="I130" s="534"/>
      <c r="J130" s="534"/>
      <c r="K130" s="470"/>
      <c r="L130" s="471"/>
      <c r="M130" s="537"/>
      <c r="N130" s="931"/>
      <c r="O130" s="931"/>
      <c r="P130" s="1916"/>
      <c r="Q130" s="451"/>
    </row>
    <row r="131" spans="1:17" ht="15.75" thickBot="1">
      <c r="A131" s="1922"/>
      <c r="B131" s="516"/>
      <c r="C131" s="517"/>
      <c r="D131" s="517"/>
      <c r="E131" s="517"/>
      <c r="F131" s="517"/>
      <c r="G131" s="538"/>
      <c r="H131" s="538"/>
      <c r="I131" s="538"/>
      <c r="J131" s="538"/>
      <c r="K131" s="538"/>
      <c r="L131" s="538"/>
      <c r="M131" s="539"/>
      <c r="N131" s="932"/>
      <c r="O131" s="932"/>
      <c r="P131" s="1916"/>
      <c r="Q131" s="451"/>
    </row>
    <row r="136" spans="1:17" ht="15" thickBot="1">
      <c r="B136" s="1923" t="s">
        <v>1744</v>
      </c>
    </row>
    <row r="137" spans="1:17" ht="15">
      <c r="B137" s="1924" t="s">
        <v>1745</v>
      </c>
      <c r="C137" s="1925"/>
      <c r="D137" s="1925"/>
      <c r="E137" s="1925"/>
      <c r="F137" s="1925"/>
      <c r="G137" s="1926"/>
      <c r="H137" s="1927"/>
      <c r="I137" s="1928" t="s">
        <v>1746</v>
      </c>
      <c r="J137" s="1925"/>
      <c r="K137" s="1929"/>
    </row>
    <row r="138" spans="1:17" ht="15">
      <c r="B138" s="1930"/>
      <c r="C138" s="137" t="s">
        <v>1747</v>
      </c>
      <c r="D138" s="137" t="s">
        <v>1748</v>
      </c>
      <c r="E138" s="1931" t="s">
        <v>1749</v>
      </c>
      <c r="F138" s="1932" t="s">
        <v>1750</v>
      </c>
      <c r="G138" s="137" t="s">
        <v>1748</v>
      </c>
      <c r="H138" s="138" t="s">
        <v>1749</v>
      </c>
      <c r="I138" s="1933"/>
      <c r="J138" s="137" t="s">
        <v>1751</v>
      </c>
      <c r="K138" s="138" t="s">
        <v>1752</v>
      </c>
    </row>
    <row r="139" spans="1:17" ht="15">
      <c r="B139" s="865">
        <v>6</v>
      </c>
      <c r="C139" s="866">
        <v>96</v>
      </c>
      <c r="D139" s="1934" t="s">
        <v>1753</v>
      </c>
      <c r="E139" s="867">
        <v>100</v>
      </c>
      <c r="F139" s="868">
        <v>102.5</v>
      </c>
      <c r="G139" s="1934" t="s">
        <v>1753</v>
      </c>
      <c r="H139" s="869">
        <v>105</v>
      </c>
      <c r="I139" s="1935" t="s">
        <v>1754</v>
      </c>
      <c r="J139" s="866">
        <v>20</v>
      </c>
      <c r="K139" s="870">
        <f>C145/(J139-2)</f>
        <v>4.0555555555555553E-3</v>
      </c>
    </row>
    <row r="140" spans="1:17" ht="15">
      <c r="B140" s="871">
        <v>5</v>
      </c>
      <c r="C140" s="872">
        <v>100</v>
      </c>
      <c r="D140" s="872"/>
      <c r="E140" s="873"/>
      <c r="F140" s="874">
        <v>102</v>
      </c>
      <c r="G140" s="872"/>
      <c r="H140" s="875"/>
      <c r="I140" s="1936" t="s">
        <v>1755</v>
      </c>
      <c r="J140" s="271">
        <f>ROUNDUP((J139-1)/2,0)</f>
        <v>10</v>
      </c>
      <c r="K140" s="876">
        <v>100</v>
      </c>
    </row>
    <row r="141" spans="1:17" ht="15">
      <c r="B141" s="871">
        <v>4</v>
      </c>
      <c r="C141" s="872">
        <v>102</v>
      </c>
      <c r="D141" s="872"/>
      <c r="E141" s="873"/>
      <c r="F141" s="874">
        <v>101.5</v>
      </c>
      <c r="G141" s="872"/>
      <c r="H141" s="875"/>
      <c r="I141" s="1936" t="s">
        <v>1756</v>
      </c>
      <c r="J141" s="271">
        <v>1</v>
      </c>
      <c r="K141" s="877">
        <f>ROUND(100+(J141-J140)*K139*100,1)</f>
        <v>96.4</v>
      </c>
    </row>
    <row r="142" spans="1:17" ht="15">
      <c r="B142" s="871">
        <v>3</v>
      </c>
      <c r="C142" s="872">
        <v>103</v>
      </c>
      <c r="D142" s="872"/>
      <c r="E142" s="873"/>
      <c r="F142" s="874">
        <v>101</v>
      </c>
      <c r="G142" s="872"/>
      <c r="H142" s="875"/>
      <c r="I142" s="1936" t="s">
        <v>1757</v>
      </c>
      <c r="J142" s="271">
        <f>J139</f>
        <v>20</v>
      </c>
      <c r="K142" s="878">
        <v>95</v>
      </c>
    </row>
    <row r="143" spans="1:17" ht="15">
      <c r="B143" s="871">
        <v>2</v>
      </c>
      <c r="C143" s="872">
        <v>100</v>
      </c>
      <c r="D143" s="872"/>
      <c r="E143" s="873"/>
      <c r="F143" s="874">
        <v>100.5</v>
      </c>
      <c r="G143" s="872"/>
      <c r="H143" s="875"/>
      <c r="I143" s="1936" t="s">
        <v>1758</v>
      </c>
      <c r="J143" s="872">
        <v>15</v>
      </c>
      <c r="K143" s="877">
        <f>ROUND(100+(J143-J140)*K139*100,1)</f>
        <v>102</v>
      </c>
    </row>
    <row r="144" spans="1:17" ht="15">
      <c r="B144" s="871">
        <v>1</v>
      </c>
      <c r="C144" s="872">
        <v>98</v>
      </c>
      <c r="D144" s="1937" t="s">
        <v>1759</v>
      </c>
      <c r="E144" s="873">
        <v>102</v>
      </c>
      <c r="F144" s="879">
        <v>100</v>
      </c>
      <c r="G144" s="1937" t="s">
        <v>1759</v>
      </c>
      <c r="H144" s="875">
        <v>105</v>
      </c>
      <c r="I144" s="1936" t="s">
        <v>1758</v>
      </c>
      <c r="J144" s="872">
        <v>18</v>
      </c>
      <c r="K144" s="877">
        <f>ROUND(100+(J144-J140)*K139*100,1)</f>
        <v>103.2</v>
      </c>
    </row>
    <row r="145" spans="2:11" ht="15.75" thickBot="1">
      <c r="B145" s="1938" t="s">
        <v>1760</v>
      </c>
      <c r="C145" s="880">
        <f>ROUND(MAX(C139:C144)/MIN(C139:C144)-1,3)</f>
        <v>7.2999999999999995E-2</v>
      </c>
      <c r="D145" s="881"/>
      <c r="E145" s="881"/>
      <c r="F145" s="1939" t="s">
        <v>1761</v>
      </c>
      <c r="G145" s="1940"/>
      <c r="H145" s="1941"/>
      <c r="I145" s="1942" t="s">
        <v>1758</v>
      </c>
      <c r="J145" s="882">
        <v>8</v>
      </c>
      <c r="K145" s="883">
        <f>ROUND(100+(J145-J140)*K139*100,1)</f>
        <v>99.2</v>
      </c>
    </row>
    <row r="147" spans="2:11">
      <c r="B147" s="1923" t="s">
        <v>1762</v>
      </c>
    </row>
    <row r="148" spans="2:11">
      <c r="B148" s="1923"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36">
      <c r="A4" s="1477" t="str">
        <f>"受贵公司委托，我公司对"&amp;项目基本情况!S1&amp;"进行了预评估。"</f>
        <v>受贵公司委托，我公司对北京市北京市海淀区双新村棚户区改造项目2603-003-1地块R2二类居住用地出让国有建设用地使用权抵押价值进行了预评估。</v>
      </c>
    </row>
    <row r="5" spans="1:1" ht="18.75">
      <c r="A5" s="1478" t="s">
        <v>899</v>
      </c>
    </row>
    <row r="6" spans="1:1" ht="18.75">
      <c r="A6" s="1479" t="s">
        <v>900</v>
      </c>
    </row>
    <row r="7" spans="1:1" ht="72">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市海淀区双新村棚户区改造项目2603-003-1地块R2二类居住用地出让国有建设用地使用权，为北京越华房地产开发有限公司所有。根据《国有土地使用证》[]，估价对象（分摊）出让国有建设用地使用权面积为53915.27平方米，建筑面积为105107.28平方米。</v>
      </c>
    </row>
    <row r="8" spans="1:1" ht="57.75">
      <c r="A8" s="1480" t="s">
        <v>901</v>
      </c>
    </row>
    <row r="9" spans="1:1" ht="18.75">
      <c r="A9" s="1479" t="s">
        <v>902</v>
      </c>
    </row>
    <row r="10" spans="1:1" ht="72">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市海淀区双新村棚户区改造项目2603-003-1地块R2二类居住用地出让国有建设用地使用权,属北京越华房地产开发有限公司开发建设的居住项目，该项目尚在开发建设中。根据《国有土地使用证》[]，估价对象（分摊）出让国有建设用地使用权面积为53915.27平方米，规划建筑面积为105107.28平方米。</v>
      </c>
    </row>
    <row r="11" spans="1:1" ht="76.5">
      <c r="A11" s="1480" t="s">
        <v>903</v>
      </c>
    </row>
    <row r="12" spans="1:1" ht="18.75">
      <c r="A12" s="1478" t="s">
        <v>904</v>
      </c>
    </row>
    <row r="13" spans="1:1" ht="38.25" customHeight="1">
      <c r="A13" s="1481" t="str">
        <f>IF(项目基本情况!B8="抵押",IF(项目基本情况!B5=项目基本情况!B6,定义!C51,定义!B51),定义!D51)</f>
        <v>为估价委托人在向建行办理贷款手续过程中，确定房地产抵押贷款额度提供参考依据而评估房地产抵押价值。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2024年10月11日（评估专业人员实地查勘之日）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11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7" t="str">
        <f>IF(项目基本情况!B9="房地产市场价值","——",IF(项目基本情况!E9="——","",定义!C57))</f>
        <v/>
      </c>
    </row>
    <row r="23" spans="1:1" ht="18.75">
      <c r="A23" s="1482" t="s">
        <v>896</v>
      </c>
    </row>
    <row r="24" spans="1:1" ht="18">
      <c r="A24" s="1484" t="str">
        <f>"本次评估采用的主估价方法为"&amp;结果表!K4&amp;"和"&amp;结果表!L4&amp;"。"</f>
        <v>本次评估采用的主估价方法为比较法和假设开发法。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1910"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875" t="s">
        <v>1764</v>
      </c>
      <c r="C1" s="1235" t="s">
        <v>1660</v>
      </c>
      <c r="D1" s="1222"/>
      <c r="E1" s="3417"/>
      <c r="F1" s="1876"/>
      <c r="G1" s="1232" t="s">
        <v>1765</v>
      </c>
      <c r="H1" s="1231"/>
      <c r="I1" s="1231"/>
      <c r="J1" s="1231"/>
      <c r="K1" s="1233"/>
      <c r="L1" s="1234"/>
      <c r="M1" s="1235"/>
      <c r="N1" s="1235"/>
      <c r="O1" s="1235"/>
      <c r="P1" s="1943"/>
      <c r="Q1" s="1944"/>
      <c r="R1" s="1944"/>
      <c r="S1" s="1944"/>
      <c r="T1" s="1944"/>
      <c r="U1" s="1944"/>
      <c r="V1" s="1944"/>
      <c r="W1" s="1944"/>
      <c r="X1" s="1944"/>
      <c r="Y1" s="1944"/>
      <c r="Z1" s="1944"/>
      <c r="AA1" s="1944"/>
      <c r="AB1" s="1944"/>
      <c r="AC1" s="1945"/>
    </row>
    <row r="2" spans="1:29" s="352" customFormat="1" ht="28.5" customHeight="1" thickTop="1">
      <c r="A2" s="1218" t="s">
        <v>1460</v>
      </c>
      <c r="B2" s="1162" t="b">
        <f>IF(E1="项目模式",IF(C2="——",ROUND(C49*D3/10000,0),ROUND(C49*D3/10000,0)-D2),IF(E1="单套模式",IF(C2="——",ROUND(C49*D3/10000,4),ROUND(C49*D3/10000,4)-D2)))</f>
        <v>0</v>
      </c>
      <c r="C2" s="1878"/>
      <c r="D2" s="1113" t="e">
        <f ca="1">IF(E1="项目模式",SUMIF(INDIRECT("'"&amp;F2&amp;"'"&amp;"!A:A"),"承租人权益价值",INDIRECT("'"&amp;F2&amp;"'"&amp;"!c:c")),SUMIF(INDIRECT("'"&amp;F2&amp;"'"&amp;"!A:A"),"承租人权益价值（单套）",INDIRECT("'"&amp;F2&amp;"'"&amp;"!c:c")))</f>
        <v>#REF!</v>
      </c>
      <c r="E2" s="1879" t="s">
        <v>1461</v>
      </c>
      <c r="F2" s="1880"/>
      <c r="G2" s="906"/>
      <c r="H2" s="906"/>
      <c r="I2" s="906"/>
      <c r="J2" s="906"/>
      <c r="K2" s="906"/>
      <c r="L2" s="2725"/>
      <c r="M2" s="2726"/>
      <c r="N2" s="2726"/>
      <c r="O2" s="2726"/>
      <c r="P2" s="1946"/>
      <c r="Q2" s="910"/>
      <c r="R2" s="910"/>
      <c r="S2" s="910"/>
      <c r="T2" s="910"/>
      <c r="U2" s="910"/>
      <c r="V2" s="910"/>
      <c r="W2" s="910"/>
      <c r="X2" s="910"/>
      <c r="Y2" s="910"/>
      <c r="Z2" s="910"/>
      <c r="AA2" s="910"/>
      <c r="AB2" s="910"/>
      <c r="AC2" s="1947"/>
    </row>
    <row r="3" spans="1:29" s="352" customFormat="1" ht="28.5" customHeight="1" thickBot="1">
      <c r="A3" s="203" t="s">
        <v>1462</v>
      </c>
      <c r="B3" s="556">
        <f>IF(C2="——",C49,ROUND(B2*10000/D3,0))</f>
        <v>0</v>
      </c>
      <c r="C3" s="354" t="s">
        <v>1766</v>
      </c>
      <c r="D3" s="353">
        <f>IF(D1="",'数据-汇总表'!E3,SUMIF('数据-汇总表'!$C19:$C33,D1,'数据-汇总表'!$E19:$E33))</f>
        <v>105107.27999999982</v>
      </c>
      <c r="E3" s="1948"/>
      <c r="F3" s="907"/>
      <c r="G3" s="906"/>
      <c r="H3" s="906"/>
      <c r="I3" s="906"/>
      <c r="J3" s="906"/>
      <c r="K3" s="908"/>
      <c r="L3" s="2725"/>
      <c r="M3" s="2726"/>
      <c r="N3" s="2726"/>
      <c r="O3" s="2726"/>
      <c r="P3" s="1946"/>
      <c r="Q3" s="910"/>
      <c r="R3" s="910"/>
      <c r="S3" s="910"/>
      <c r="T3" s="910"/>
      <c r="U3" s="910"/>
      <c r="V3" s="910"/>
      <c r="W3" s="910"/>
      <c r="X3" s="910"/>
      <c r="Y3" s="910"/>
      <c r="Z3" s="910"/>
      <c r="AA3" s="910"/>
      <c r="AB3" s="910"/>
      <c r="AC3" s="1948"/>
    </row>
    <row r="4" spans="1:29" ht="15">
      <c r="A4" s="355" t="s">
        <v>1767</v>
      </c>
      <c r="B4" s="356"/>
      <c r="C4" s="3663" t="s">
        <v>1768</v>
      </c>
      <c r="D4" s="3675"/>
      <c r="E4" s="3676" t="s">
        <v>1769</v>
      </c>
      <c r="F4" s="3677"/>
      <c r="G4" s="3663" t="s">
        <v>1770</v>
      </c>
      <c r="H4" s="3675"/>
      <c r="I4" s="3663" t="s">
        <v>1771</v>
      </c>
      <c r="J4" s="3675"/>
      <c r="K4" s="557" t="s">
        <v>1772</v>
      </c>
      <c r="L4" s="2706"/>
      <c r="M4" s="2707"/>
      <c r="N4" s="2707"/>
      <c r="O4" s="2707"/>
      <c r="P4" s="3678" t="s">
        <v>1773</v>
      </c>
      <c r="Q4" s="3679"/>
      <c r="R4" s="3684" t="s">
        <v>1769</v>
      </c>
      <c r="S4" s="3685"/>
      <c r="T4" s="3684" t="s">
        <v>1770</v>
      </c>
      <c r="U4" s="3685"/>
      <c r="V4" s="3671" t="s">
        <v>1771</v>
      </c>
      <c r="W4" s="3671"/>
      <c r="X4" s="1352"/>
      <c r="Y4" s="3684" t="s">
        <v>1773</v>
      </c>
      <c r="Z4" s="3685"/>
      <c r="AA4" s="3672" t="s">
        <v>1769</v>
      </c>
      <c r="AB4" s="3671" t="s">
        <v>1770</v>
      </c>
      <c r="AC4" s="3672" t="s">
        <v>1771</v>
      </c>
    </row>
    <row r="5" spans="1:29" ht="15">
      <c r="A5" s="358"/>
      <c r="B5" s="359"/>
      <c r="C5" s="3692" t="s">
        <v>1671</v>
      </c>
      <c r="D5" s="3693"/>
      <c r="E5" s="3699" t="s">
        <v>1672</v>
      </c>
      <c r="F5" s="3700"/>
      <c r="G5" s="3692" t="s">
        <v>1673</v>
      </c>
      <c r="H5" s="3693"/>
      <c r="I5" s="3692" t="s">
        <v>1674</v>
      </c>
      <c r="J5" s="3693"/>
      <c r="K5" s="557"/>
      <c r="L5" s="2706"/>
      <c r="M5" s="2707"/>
      <c r="N5" s="2707"/>
      <c r="O5" s="2707"/>
      <c r="P5" s="3680"/>
      <c r="Q5" s="3681"/>
      <c r="R5" s="3686"/>
      <c r="S5" s="3687"/>
      <c r="T5" s="3686"/>
      <c r="U5" s="3687"/>
      <c r="V5" s="3671"/>
      <c r="W5" s="3671"/>
      <c r="X5" s="1352"/>
      <c r="Y5" s="3686"/>
      <c r="Z5" s="3687"/>
      <c r="AA5" s="3673"/>
      <c r="AB5" s="3671"/>
      <c r="AC5" s="3673"/>
    </row>
    <row r="6" spans="1:29" ht="15.75" thickBot="1">
      <c r="A6" s="360"/>
      <c r="B6" s="361"/>
      <c r="C6" s="3690" t="s">
        <v>1675</v>
      </c>
      <c r="D6" s="3691"/>
      <c r="E6" s="3697" t="s">
        <v>1675</v>
      </c>
      <c r="F6" s="3698"/>
      <c r="G6" s="3690" t="s">
        <v>1675</v>
      </c>
      <c r="H6" s="3691"/>
      <c r="I6" s="3690" t="s">
        <v>1675</v>
      </c>
      <c r="J6" s="3691"/>
      <c r="K6" s="557" t="s">
        <v>1676</v>
      </c>
      <c r="L6" s="2706"/>
      <c r="M6" s="2707"/>
      <c r="N6" s="2707"/>
      <c r="O6" s="2707"/>
      <c r="P6" s="3682"/>
      <c r="Q6" s="3683"/>
      <c r="R6" s="3686"/>
      <c r="S6" s="3687"/>
      <c r="T6" s="3688"/>
      <c r="U6" s="3689"/>
      <c r="V6" s="3671"/>
      <c r="W6" s="3671"/>
      <c r="X6" s="1352"/>
      <c r="Y6" s="3688"/>
      <c r="Z6" s="3689"/>
      <c r="AA6" s="3674"/>
      <c r="AB6" s="3671"/>
      <c r="AC6" s="3674"/>
    </row>
    <row r="7" spans="1:29" s="108" customFormat="1" ht="15.75" thickBot="1">
      <c r="A7" s="362" t="s">
        <v>1677</v>
      </c>
      <c r="B7" s="363"/>
      <c r="C7" s="364">
        <f>'数据-取费表'!B2</f>
        <v>45576</v>
      </c>
      <c r="D7" s="365">
        <v>100</v>
      </c>
      <c r="E7" s="366"/>
      <c r="F7" s="367">
        <f>SUMIF(58:58,YEAR(E7)&amp;"-"&amp;MONTH(E7),59:59)</f>
        <v>0</v>
      </c>
      <c r="G7" s="366"/>
      <c r="H7" s="365">
        <f>SUMIF(58:58,YEAR(G7)&amp;"-"&amp;MONTH(G7),59:59)</f>
        <v>0</v>
      </c>
      <c r="I7" s="366"/>
      <c r="J7" s="365">
        <f>SUMIF(58:58,YEAR(I7)&amp;"-"&amp;MONTH(I7),59:59)</f>
        <v>0</v>
      </c>
      <c r="K7" s="558"/>
      <c r="L7" s="2708"/>
      <c r="M7" s="2709"/>
      <c r="N7" s="2709"/>
      <c r="O7" s="2709"/>
      <c r="P7" s="3694" t="s">
        <v>1678</v>
      </c>
      <c r="Q7" s="3696"/>
      <c r="R7" s="699" t="s">
        <v>14</v>
      </c>
      <c r="S7" s="700">
        <f t="shared" ref="S7:S15" si="0">F7</f>
        <v>0</v>
      </c>
      <c r="T7" s="699" t="s">
        <v>14</v>
      </c>
      <c r="U7" s="700">
        <f t="shared" ref="U7:U15" si="1">H7</f>
        <v>0</v>
      </c>
      <c r="V7" s="699" t="s">
        <v>14</v>
      </c>
      <c r="W7" s="700">
        <f t="shared" ref="W7:W15" si="2">J7</f>
        <v>0</v>
      </c>
      <c r="X7" s="701"/>
      <c r="Y7" s="3694" t="s">
        <v>1678</v>
      </c>
      <c r="Z7" s="3695"/>
      <c r="AA7" s="702" t="e">
        <f>D7/F7</f>
        <v>#DIV/0!</v>
      </c>
      <c r="AB7" s="702" t="e">
        <f>D7/H7</f>
        <v>#DIV/0!</v>
      </c>
      <c r="AC7" s="702"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58"/>
      <c r="L8" s="2708"/>
      <c r="M8" s="2709"/>
      <c r="N8" s="2709"/>
      <c r="O8" s="2709"/>
      <c r="P8" s="3694" t="s">
        <v>1681</v>
      </c>
      <c r="Q8" s="3695"/>
      <c r="R8" s="699" t="s">
        <v>14</v>
      </c>
      <c r="S8" s="700">
        <f t="shared" si="0"/>
        <v>100</v>
      </c>
      <c r="T8" s="699" t="s">
        <v>14</v>
      </c>
      <c r="U8" s="700">
        <f t="shared" si="1"/>
        <v>100</v>
      </c>
      <c r="V8" s="699" t="s">
        <v>14</v>
      </c>
      <c r="W8" s="700">
        <f t="shared" si="2"/>
        <v>100</v>
      </c>
      <c r="X8" s="701"/>
      <c r="Y8" s="3694" t="s">
        <v>1681</v>
      </c>
      <c r="Z8" s="3695"/>
      <c r="AA8" s="702">
        <f t="shared" ref="AA8:AA46" si="3">D8/F8</f>
        <v>1</v>
      </c>
      <c r="AB8" s="702">
        <f t="shared" ref="AB8:AB46" si="4">D8/H8</f>
        <v>1</v>
      </c>
      <c r="AC8" s="702">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58"/>
      <c r="L9" s="2708"/>
      <c r="M9" s="2709"/>
      <c r="N9" s="2709"/>
      <c r="O9" s="2709"/>
      <c r="P9" s="3665" t="s">
        <v>1684</v>
      </c>
      <c r="Q9" s="1340" t="str">
        <f t="shared" ref="Q9:Q15" si="6">B9</f>
        <v>用途</v>
      </c>
      <c r="R9" s="699" t="s">
        <v>14</v>
      </c>
      <c r="S9" s="700">
        <f t="shared" si="0"/>
        <v>100</v>
      </c>
      <c r="T9" s="699" t="s">
        <v>14</v>
      </c>
      <c r="U9" s="700">
        <f t="shared" si="1"/>
        <v>100</v>
      </c>
      <c r="V9" s="699" t="s">
        <v>14</v>
      </c>
      <c r="W9" s="700">
        <f t="shared" si="2"/>
        <v>100</v>
      </c>
      <c r="X9" s="701"/>
      <c r="Y9" s="3563" t="s">
        <v>1685</v>
      </c>
      <c r="Z9" s="52" t="str">
        <f t="shared" ref="Z9:Z15" si="7">Q9</f>
        <v>用途</v>
      </c>
      <c r="AA9" s="702">
        <f t="shared" si="3"/>
        <v>1</v>
      </c>
      <c r="AB9" s="702">
        <f t="shared" si="4"/>
        <v>1</v>
      </c>
      <c r="AC9" s="702">
        <f t="shared" si="5"/>
        <v>1</v>
      </c>
    </row>
    <row r="10" spans="1:29" s="378" customFormat="1" ht="27">
      <c r="A10" s="374"/>
      <c r="B10" s="375" t="s">
        <v>1686</v>
      </c>
      <c r="C10" s="3425"/>
      <c r="D10" s="127">
        <v>100</v>
      </c>
      <c r="E10" s="3426"/>
      <c r="F10" s="376">
        <f>SUMIF(65:65,E10,66:66)-SUMIF(65:65,C10,66:66)+100</f>
        <v>100</v>
      </c>
      <c r="G10" s="3425"/>
      <c r="H10" s="127">
        <f>SUMIF(65:65,G10,66:66)-SUMIF(65:65,C10,66:66)+100</f>
        <v>100</v>
      </c>
      <c r="I10" s="3425"/>
      <c r="J10" s="127">
        <f>SUMIF(65:65,I10,66:66)-SUMIF(65:65,C10,66:66)+100</f>
        <v>100</v>
      </c>
      <c r="K10" s="558"/>
      <c r="L10" s="2710"/>
      <c r="M10" s="2711"/>
      <c r="N10" s="2711"/>
      <c r="O10" s="2711"/>
      <c r="P10" s="3665"/>
      <c r="Q10" s="1340"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702">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59"/>
      <c r="L11" s="2712"/>
      <c r="M11" s="2707"/>
      <c r="N11" s="2707"/>
      <c r="O11" s="2707"/>
      <c r="P11" s="3665"/>
      <c r="Q11" s="1340" t="str">
        <f t="shared" si="6"/>
        <v>容积率</v>
      </c>
      <c r="R11" s="699" t="s">
        <v>14</v>
      </c>
      <c r="S11" s="700" t="e">
        <f t="shared" si="0"/>
        <v>#N/A</v>
      </c>
      <c r="T11" s="699" t="s">
        <v>14</v>
      </c>
      <c r="U11" s="700" t="e">
        <f t="shared" si="1"/>
        <v>#N/A</v>
      </c>
      <c r="V11" s="699" t="s">
        <v>14</v>
      </c>
      <c r="W11" s="700" t="e">
        <f t="shared" si="2"/>
        <v>#N/A</v>
      </c>
      <c r="X11" s="701"/>
      <c r="Y11" s="3563"/>
      <c r="Z11" s="52" t="str">
        <f t="shared" si="7"/>
        <v>容积率</v>
      </c>
      <c r="AA11" s="702" t="e">
        <f t="shared" si="3"/>
        <v>#N/A</v>
      </c>
      <c r="AB11" s="702" t="e">
        <f t="shared" si="4"/>
        <v>#N/A</v>
      </c>
      <c r="AC11" s="702"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0"/>
      <c r="L12" s="2708"/>
      <c r="M12" s="2709"/>
      <c r="N12" s="2709"/>
      <c r="O12" s="2709"/>
      <c r="P12" s="3665"/>
      <c r="Q12" s="1340">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702">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0"/>
      <c r="L13" s="2713"/>
      <c r="M13" s="2707"/>
      <c r="N13" s="2707"/>
      <c r="O13" s="2707"/>
      <c r="P13" s="3665"/>
      <c r="Q13" s="1340">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702">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0"/>
      <c r="L14" s="2713"/>
      <c r="M14" s="2707"/>
      <c r="N14" s="2707"/>
      <c r="O14" s="2707"/>
      <c r="P14" s="3665"/>
      <c r="Q14" s="1340">
        <f t="shared" si="6"/>
        <v>111</v>
      </c>
      <c r="R14" s="699" t="s">
        <v>14</v>
      </c>
      <c r="S14" s="700">
        <f t="shared" si="0"/>
        <v>100</v>
      </c>
      <c r="T14" s="699" t="s">
        <v>14</v>
      </c>
      <c r="U14" s="700">
        <f t="shared" si="1"/>
        <v>100</v>
      </c>
      <c r="V14" s="699" t="s">
        <v>14</v>
      </c>
      <c r="W14" s="700">
        <f t="shared" si="2"/>
        <v>100</v>
      </c>
      <c r="X14" s="701"/>
      <c r="Y14" s="3563"/>
      <c r="Z14" s="52">
        <f t="shared" si="7"/>
        <v>111</v>
      </c>
      <c r="AA14" s="702">
        <f t="shared" si="3"/>
        <v>1</v>
      </c>
      <c r="AB14" s="702">
        <f t="shared" si="4"/>
        <v>1</v>
      </c>
      <c r="AC14" s="702">
        <f t="shared" si="5"/>
        <v>1</v>
      </c>
    </row>
    <row r="15" spans="1:29" ht="15">
      <c r="A15" s="391" t="s">
        <v>1688</v>
      </c>
      <c r="B15" s="61" t="s">
        <v>1775</v>
      </c>
      <c r="C15" s="1892" t="str">
        <f>估价对象房地状况!C4</f>
        <v>一般</v>
      </c>
      <c r="D15" s="392">
        <v>100</v>
      </c>
      <c r="E15" s="393"/>
      <c r="F15" s="394">
        <f>SUMIF(76:76,E16,77:77)-SUMIF(76:76,C16,77:77)+100</f>
        <v>100</v>
      </c>
      <c r="G15" s="395"/>
      <c r="H15" s="392">
        <f>SUMIF(76:76,G16,77:77)-SUMIF(76:76,C16,77:77)+100</f>
        <v>100</v>
      </c>
      <c r="I15" s="393"/>
      <c r="J15" s="392">
        <f>SUMIF(76:76,I16,77:77)-SUMIF(76:76,C16,77:77)+100</f>
        <v>100</v>
      </c>
      <c r="K15" s="561"/>
      <c r="L15" s="2713"/>
      <c r="M15" s="2707"/>
      <c r="N15" s="2707"/>
      <c r="O15" s="2707"/>
      <c r="P15" s="3733" t="s">
        <v>1689</v>
      </c>
      <c r="Q15" s="1349" t="str">
        <f t="shared" si="6"/>
        <v>商业繁华度</v>
      </c>
      <c r="R15" s="703" t="s">
        <v>14</v>
      </c>
      <c r="S15" s="704">
        <f t="shared" si="0"/>
        <v>100</v>
      </c>
      <c r="T15" s="703" t="s">
        <v>14</v>
      </c>
      <c r="U15" s="704">
        <f t="shared" si="1"/>
        <v>100</v>
      </c>
      <c r="V15" s="703" t="s">
        <v>14</v>
      </c>
      <c r="W15" s="704">
        <f t="shared" si="2"/>
        <v>100</v>
      </c>
      <c r="X15" s="1352"/>
      <c r="Y15" s="3667" t="s">
        <v>1689</v>
      </c>
      <c r="Z15" s="1353" t="str">
        <f t="shared" si="7"/>
        <v>商业繁华度</v>
      </c>
      <c r="AA15" s="1350">
        <f t="shared" si="3"/>
        <v>1</v>
      </c>
      <c r="AB15" s="1350">
        <f t="shared" si="4"/>
        <v>1</v>
      </c>
      <c r="AC15" s="1350">
        <f t="shared" si="5"/>
        <v>1</v>
      </c>
    </row>
    <row r="16" spans="1:29" ht="15">
      <c r="A16" s="379"/>
      <c r="B16" s="397"/>
      <c r="C16" s="398"/>
      <c r="D16" s="399"/>
      <c r="E16" s="398"/>
      <c r="F16" s="400"/>
      <c r="G16" s="398"/>
      <c r="H16" s="401"/>
      <c r="I16" s="398"/>
      <c r="J16" s="399"/>
      <c r="K16" s="562"/>
      <c r="L16" s="2713"/>
      <c r="M16" s="2707"/>
      <c r="N16" s="2707"/>
      <c r="O16" s="2707"/>
      <c r="P16" s="3734"/>
      <c r="Q16" s="1349"/>
      <c r="R16" s="703"/>
      <c r="S16" s="704"/>
      <c r="T16" s="703"/>
      <c r="U16" s="704"/>
      <c r="V16" s="703"/>
      <c r="W16" s="704"/>
      <c r="X16" s="1352"/>
      <c r="Y16" s="3668"/>
      <c r="Z16" s="1353"/>
      <c r="AA16" s="1350">
        <v>1</v>
      </c>
      <c r="AB16" s="1350">
        <v>1</v>
      </c>
      <c r="AC16" s="1350">
        <v>1</v>
      </c>
    </row>
    <row r="17" spans="1:29" ht="15">
      <c r="A17" s="379"/>
      <c r="B17" s="402" t="s">
        <v>1257</v>
      </c>
      <c r="C17" s="1896" t="str">
        <f>估价对象房地状况!C6</f>
        <v>一般</v>
      </c>
      <c r="D17" s="401">
        <v>100</v>
      </c>
      <c r="E17" s="403"/>
      <c r="F17" s="404">
        <f>SUMIF(78:78,E18,79:79)-SUMIF(78:78,C18,79:79)+100</f>
        <v>100</v>
      </c>
      <c r="G17" s="405"/>
      <c r="H17" s="406">
        <f>SUMIF(78:78,G18,79:79)-SUMIF(78:78,C18,79:79)+100</f>
        <v>100</v>
      </c>
      <c r="I17" s="403"/>
      <c r="J17" s="406">
        <f>SUMIF(78:78,I18,79:79)-SUMIF(78:78,C18,79:79)+100</f>
        <v>100</v>
      </c>
      <c r="K17" s="561"/>
      <c r="L17" s="2713"/>
      <c r="M17" s="2707"/>
      <c r="N17" s="2707"/>
      <c r="O17" s="2707"/>
      <c r="P17" s="3734"/>
      <c r="Q17" s="1349" t="str">
        <f>B17</f>
        <v>交通便捷度</v>
      </c>
      <c r="R17" s="703" t="s">
        <v>14</v>
      </c>
      <c r="S17" s="704">
        <f>F17</f>
        <v>100</v>
      </c>
      <c r="T17" s="703" t="s">
        <v>14</v>
      </c>
      <c r="U17" s="704">
        <f>H17</f>
        <v>100</v>
      </c>
      <c r="V17" s="703" t="s">
        <v>14</v>
      </c>
      <c r="W17" s="704">
        <f>J17</f>
        <v>100</v>
      </c>
      <c r="X17" s="1352"/>
      <c r="Y17" s="3668"/>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2"/>
      <c r="L18" s="2713"/>
      <c r="M18" s="2707"/>
      <c r="N18" s="2707"/>
      <c r="O18" s="2707"/>
      <c r="P18" s="3734"/>
      <c r="Q18" s="1349"/>
      <c r="R18" s="703"/>
      <c r="S18" s="704"/>
      <c r="T18" s="703"/>
      <c r="U18" s="704"/>
      <c r="V18" s="703"/>
      <c r="W18" s="704"/>
      <c r="X18" s="1352"/>
      <c r="Y18" s="3668"/>
      <c r="Z18" s="1353"/>
      <c r="AA18" s="1350">
        <v>1</v>
      </c>
      <c r="AB18" s="1350">
        <v>1</v>
      </c>
      <c r="AC18" s="1350">
        <v>1</v>
      </c>
    </row>
    <row r="19" spans="1:29" ht="15">
      <c r="A19" s="379"/>
      <c r="B19" s="402" t="s">
        <v>1776</v>
      </c>
      <c r="C19" s="1896" t="str">
        <f>估价对象房地状况!C7</f>
        <v>一般</v>
      </c>
      <c r="D19" s="406">
        <v>100</v>
      </c>
      <c r="E19" s="408"/>
      <c r="F19" s="409">
        <f>SUMIF(80:80,E20,81:81)-SUMIF(80:80,C20,81:81)+100</f>
        <v>100</v>
      </c>
      <c r="G19" s="410"/>
      <c r="H19" s="401">
        <f>SUMIF(80:80,G20,81:81)-SUMIF(80:80,C20,81:81)+100</f>
        <v>100</v>
      </c>
      <c r="I19" s="408"/>
      <c r="J19" s="401">
        <f>SUMIF(80:80,I20,81:81)-SUMIF(80:80,C20,81:81)+100</f>
        <v>100</v>
      </c>
      <c r="K19" s="561"/>
      <c r="L19" s="2713"/>
      <c r="M19" s="2707"/>
      <c r="N19" s="2707"/>
      <c r="O19" s="2707"/>
      <c r="P19" s="3734"/>
      <c r="Q19" s="1349" t="str">
        <f>B19</f>
        <v>公共配套设施</v>
      </c>
      <c r="R19" s="703" t="s">
        <v>14</v>
      </c>
      <c r="S19" s="704">
        <f>F19</f>
        <v>100</v>
      </c>
      <c r="T19" s="703" t="s">
        <v>14</v>
      </c>
      <c r="U19" s="704">
        <f>H19</f>
        <v>100</v>
      </c>
      <c r="V19" s="703" t="s">
        <v>14</v>
      </c>
      <c r="W19" s="704">
        <f>J19</f>
        <v>100</v>
      </c>
      <c r="X19" s="1352"/>
      <c r="Y19" s="3668"/>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2"/>
      <c r="L20" s="2713"/>
      <c r="M20" s="2707"/>
      <c r="N20" s="2707"/>
      <c r="O20" s="2707"/>
      <c r="P20" s="3734"/>
      <c r="Q20" s="1349"/>
      <c r="R20" s="703"/>
      <c r="S20" s="704"/>
      <c r="T20" s="703"/>
      <c r="U20" s="704"/>
      <c r="V20" s="703"/>
      <c r="W20" s="704"/>
      <c r="X20" s="1352"/>
      <c r="Y20" s="3668"/>
      <c r="Z20" s="1353"/>
      <c r="AA20" s="1350">
        <v>1</v>
      </c>
      <c r="AB20" s="1350">
        <v>1</v>
      </c>
      <c r="AC20" s="1350">
        <v>1</v>
      </c>
    </row>
    <row r="21" spans="1:29" ht="15">
      <c r="A21" s="379"/>
      <c r="B21" s="1129" t="s">
        <v>1777</v>
      </c>
      <c r="C21" s="1896" t="str">
        <f>估价对象房地状况!C8</f>
        <v>六通</v>
      </c>
      <c r="D21" s="406">
        <v>100</v>
      </c>
      <c r="E21" s="408"/>
      <c r="F21" s="409">
        <f>SUMIF(82:82,E22,83:83)-SUMIF(82:82,C22,83:83)+100</f>
        <v>100</v>
      </c>
      <c r="G21" s="410"/>
      <c r="H21" s="401">
        <f>SUMIF(82:82,G22,83:83)-SUMIF(82:82,C22,83:83)+100</f>
        <v>100</v>
      </c>
      <c r="I21" s="408"/>
      <c r="J21" s="401">
        <f>SUMIF(82:82,I22,83:83)-SUMIF(82:82,C22,83:83)+100</f>
        <v>100</v>
      </c>
      <c r="K21" s="561"/>
      <c r="L21" s="2713"/>
      <c r="M21" s="2707"/>
      <c r="N21" s="2707"/>
      <c r="O21" s="2707"/>
      <c r="P21" s="3734"/>
      <c r="Q21" s="1349" t="str">
        <f>B21</f>
        <v>基础设施水平</v>
      </c>
      <c r="R21" s="703" t="s">
        <v>14</v>
      </c>
      <c r="S21" s="704">
        <f>F21</f>
        <v>100</v>
      </c>
      <c r="T21" s="703" t="s">
        <v>14</v>
      </c>
      <c r="U21" s="704">
        <f>H21</f>
        <v>100</v>
      </c>
      <c r="V21" s="703" t="s">
        <v>14</v>
      </c>
      <c r="W21" s="704">
        <f>J21</f>
        <v>100</v>
      </c>
      <c r="X21" s="1352"/>
      <c r="Y21" s="3668"/>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2713"/>
      <c r="M22" s="2707"/>
      <c r="N22" s="2707"/>
      <c r="O22" s="2707"/>
      <c r="P22" s="3734"/>
      <c r="Q22" s="1349"/>
      <c r="R22" s="703"/>
      <c r="S22" s="704"/>
      <c r="T22" s="703"/>
      <c r="U22" s="704"/>
      <c r="V22" s="703"/>
      <c r="W22" s="704"/>
      <c r="X22" s="1352"/>
      <c r="Y22" s="3668"/>
      <c r="Z22" s="1353"/>
      <c r="AA22" s="1350">
        <v>1</v>
      </c>
      <c r="AB22" s="1350">
        <v>1</v>
      </c>
      <c r="AC22" s="1350">
        <v>1</v>
      </c>
    </row>
    <row r="23" spans="1:29" ht="15">
      <c r="A23" s="379"/>
      <c r="B23" s="402" t="s">
        <v>1259</v>
      </c>
      <c r="C23" s="1949"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1"/>
      <c r="L23" s="2713"/>
      <c r="M23" s="2707"/>
      <c r="N23" s="2707"/>
      <c r="O23" s="2707"/>
      <c r="P23" s="3734"/>
      <c r="Q23" s="1349" t="str">
        <f>B23</f>
        <v>自然及人文环境</v>
      </c>
      <c r="R23" s="703" t="s">
        <v>14</v>
      </c>
      <c r="S23" s="704">
        <f>F23</f>
        <v>100</v>
      </c>
      <c r="T23" s="703" t="s">
        <v>14</v>
      </c>
      <c r="U23" s="704">
        <f>H23</f>
        <v>100</v>
      </c>
      <c r="V23" s="703" t="s">
        <v>14</v>
      </c>
      <c r="W23" s="704">
        <f>J23</f>
        <v>100</v>
      </c>
      <c r="X23" s="1352"/>
      <c r="Y23" s="3668"/>
      <c r="Z23" s="1353" t="str">
        <f>Q23</f>
        <v>自然及人文环境</v>
      </c>
      <c r="AA23" s="1350">
        <f t="shared" si="3"/>
        <v>1</v>
      </c>
      <c r="AB23" s="1350">
        <f t="shared" si="4"/>
        <v>1</v>
      </c>
      <c r="AC23" s="1350">
        <f t="shared" si="5"/>
        <v>1</v>
      </c>
    </row>
    <row r="24" spans="1:29" ht="15">
      <c r="A24" s="379"/>
      <c r="B24" s="407"/>
      <c r="C24" s="398"/>
      <c r="D24" s="399"/>
      <c r="E24" s="1894"/>
      <c r="F24" s="400"/>
      <c r="G24" s="1893"/>
      <c r="H24" s="399"/>
      <c r="I24" s="1894"/>
      <c r="J24" s="399"/>
      <c r="K24" s="562"/>
      <c r="L24" s="2713"/>
      <c r="M24" s="2707"/>
      <c r="N24" s="2707"/>
      <c r="O24" s="2707"/>
      <c r="P24" s="3734"/>
      <c r="Q24" s="1349"/>
      <c r="R24" s="703"/>
      <c r="S24" s="704"/>
      <c r="T24" s="703"/>
      <c r="U24" s="704"/>
      <c r="V24" s="703"/>
      <c r="W24" s="704"/>
      <c r="X24" s="1352"/>
      <c r="Y24" s="3668"/>
      <c r="Z24" s="1353"/>
      <c r="AA24" s="1350">
        <v>1</v>
      </c>
      <c r="AB24" s="1350">
        <v>1</v>
      </c>
      <c r="AC24" s="1350">
        <v>1</v>
      </c>
    </row>
    <row r="25" spans="1:29" ht="15">
      <c r="A25" s="379"/>
      <c r="B25" s="375" t="s">
        <v>1778</v>
      </c>
      <c r="C25" s="563"/>
      <c r="D25" s="386">
        <v>100</v>
      </c>
      <c r="E25" s="563"/>
      <c r="F25" s="412">
        <f>SUMIF(86:86,E25,87:87)-SUMIF(86:86,C25,87:87)+100</f>
        <v>100</v>
      </c>
      <c r="G25" s="563"/>
      <c r="H25" s="386">
        <f>SUMIF(86:86,G25,87:87)-SUMIF(86:86,C25,87:87)+100</f>
        <v>100</v>
      </c>
      <c r="I25" s="563"/>
      <c r="J25" s="386">
        <f>SUMIF(86:86,I25,87:87)-SUMIF(86:86,C25,87:87)+100</f>
        <v>100</v>
      </c>
      <c r="K25" s="559"/>
      <c r="L25" s="2713"/>
      <c r="M25" s="2707"/>
      <c r="N25" s="2707"/>
      <c r="O25" s="2707"/>
      <c r="P25" s="3734"/>
      <c r="Q25" s="1349" t="str">
        <f t="shared" ref="Q25:Q46" si="11">B25</f>
        <v>临街状况</v>
      </c>
      <c r="R25" s="703" t="s">
        <v>14</v>
      </c>
      <c r="S25" s="704">
        <f>F25</f>
        <v>100</v>
      </c>
      <c r="T25" s="703" t="s">
        <v>14</v>
      </c>
      <c r="U25" s="704">
        <f>H25</f>
        <v>100</v>
      </c>
      <c r="V25" s="703" t="s">
        <v>14</v>
      </c>
      <c r="W25" s="704">
        <f>J25</f>
        <v>100</v>
      </c>
      <c r="X25" s="1352"/>
      <c r="Y25" s="3668"/>
      <c r="Z25" s="1353" t="str">
        <f>Q25</f>
        <v>临街状况</v>
      </c>
      <c r="AA25" s="1350">
        <f t="shared" si="3"/>
        <v>1</v>
      </c>
      <c r="AB25" s="1350">
        <f t="shared" si="4"/>
        <v>1</v>
      </c>
      <c r="AC25" s="1350">
        <f t="shared" si="5"/>
        <v>1</v>
      </c>
    </row>
    <row r="26" spans="1:29" ht="15">
      <c r="A26" s="379"/>
      <c r="B26" s="1131" t="s">
        <v>1779</v>
      </c>
      <c r="C26" s="385"/>
      <c r="D26" s="386">
        <v>100</v>
      </c>
      <c r="E26" s="385"/>
      <c r="F26" s="412">
        <f>SUMIF(88:88,E26,89:89)-SUMIF(88:88,C26,89:89)+100</f>
        <v>100</v>
      </c>
      <c r="G26" s="385"/>
      <c r="H26" s="386">
        <f>SUMIF(88:88,G26,89:89)-SUMIF(88:88,C26,89:89)+100</f>
        <v>100</v>
      </c>
      <c r="I26" s="385"/>
      <c r="J26" s="386">
        <f>SUMIF(88:88,I26,89:89)-SUMIF(88:88,C26,89:89)+100</f>
        <v>100</v>
      </c>
      <c r="K26" s="560"/>
      <c r="L26" s="2713"/>
      <c r="M26" s="2707"/>
      <c r="N26" s="2707"/>
      <c r="O26" s="2707"/>
      <c r="P26" s="3734"/>
      <c r="Q26" s="1349" t="str">
        <f t="shared" si="11"/>
        <v>平面位置/可视性</v>
      </c>
      <c r="R26" s="703" t="s">
        <v>14</v>
      </c>
      <c r="S26" s="704">
        <f>F26</f>
        <v>100</v>
      </c>
      <c r="T26" s="703" t="s">
        <v>14</v>
      </c>
      <c r="U26" s="704">
        <f>H26</f>
        <v>100</v>
      </c>
      <c r="V26" s="703" t="s">
        <v>14</v>
      </c>
      <c r="W26" s="704">
        <f>J26</f>
        <v>100</v>
      </c>
      <c r="X26" s="1352"/>
      <c r="Y26" s="3668"/>
      <c r="Z26" s="1353" t="str">
        <f>Q26</f>
        <v>平面位置/可视性</v>
      </c>
      <c r="AA26" s="1350">
        <f t="shared" si="3"/>
        <v>1</v>
      </c>
      <c r="AB26" s="1350">
        <f t="shared" si="4"/>
        <v>1</v>
      </c>
      <c r="AC26" s="1350">
        <f t="shared" si="5"/>
        <v>1</v>
      </c>
    </row>
    <row r="27" spans="1:29" s="108" customFormat="1" ht="15">
      <c r="A27" s="382"/>
      <c r="B27" s="402" t="s">
        <v>1780</v>
      </c>
      <c r="C27" s="1950"/>
      <c r="D27" s="413">
        <v>100</v>
      </c>
      <c r="E27" s="1950"/>
      <c r="F27" s="415">
        <f>SUMIF(90:90,E27,91:91)-SUMIF(90:90,C27,91:91)+100</f>
        <v>100</v>
      </c>
      <c r="G27" s="1950"/>
      <c r="H27" s="413">
        <f>SUMIF(90:90,G27,91:91)-SUMIF(90:90,C27,91:91)+100</f>
        <v>100</v>
      </c>
      <c r="I27" s="1950"/>
      <c r="J27" s="413">
        <f>SUMIF(90:90,I27,91:91)-SUMIF(90:90,C27,91:91)+100</f>
        <v>100</v>
      </c>
      <c r="K27" s="559"/>
      <c r="L27" s="2708"/>
      <c r="M27" s="2709"/>
      <c r="N27" s="2709"/>
      <c r="O27" s="2709"/>
      <c r="P27" s="3734"/>
      <c r="Q27" s="1340" t="str">
        <f t="shared" si="11"/>
        <v>人流量</v>
      </c>
      <c r="R27" s="699" t="s">
        <v>14</v>
      </c>
      <c r="S27" s="700">
        <f>F27</f>
        <v>100</v>
      </c>
      <c r="T27" s="699" t="s">
        <v>14</v>
      </c>
      <c r="U27" s="700">
        <f>H27</f>
        <v>100</v>
      </c>
      <c r="V27" s="699" t="s">
        <v>14</v>
      </c>
      <c r="W27" s="700">
        <f>J27</f>
        <v>100</v>
      </c>
      <c r="X27" s="701"/>
      <c r="Y27" s="3668"/>
      <c r="Z27" s="52" t="str">
        <f>Q27</f>
        <v>人流量</v>
      </c>
      <c r="AA27" s="1350">
        <f>D27/F27</f>
        <v>1</v>
      </c>
      <c r="AB27" s="1350">
        <f>D27/H27</f>
        <v>1</v>
      </c>
      <c r="AC27" s="1350">
        <f>D27/J27</f>
        <v>1</v>
      </c>
    </row>
    <row r="28" spans="1:29" ht="15">
      <c r="A28" s="379"/>
      <c r="B28" s="375" t="s">
        <v>1781</v>
      </c>
      <c r="C28" s="563"/>
      <c r="D28" s="386">
        <v>100</v>
      </c>
      <c r="E28" s="563"/>
      <c r="F28" s="412">
        <f>SUMIF(92:92,E28,93:93)-SUMIF(92:92,C28,93:93)+100</f>
        <v>100</v>
      </c>
      <c r="G28" s="563"/>
      <c r="H28" s="386">
        <f>SUMIF(92:92,G28,93:93)-SUMIF(92:92,C28,93:93)+100</f>
        <v>100</v>
      </c>
      <c r="I28" s="563"/>
      <c r="J28" s="386">
        <f>SUMIF(92:92,I28,93:93)-SUMIF(92:92,C28,93:93)+100</f>
        <v>100</v>
      </c>
      <c r="K28" s="560"/>
      <c r="L28" s="2713"/>
      <c r="M28" s="2707"/>
      <c r="N28" s="2707"/>
      <c r="O28" s="2707"/>
      <c r="P28" s="3734"/>
      <c r="Q28" s="1349" t="str">
        <f t="shared" si="11"/>
        <v>楼层</v>
      </c>
      <c r="R28" s="703" t="s">
        <v>14</v>
      </c>
      <c r="S28" s="704">
        <f t="shared" ref="S28:S46" si="12">F28</f>
        <v>100</v>
      </c>
      <c r="T28" s="703" t="s">
        <v>14</v>
      </c>
      <c r="U28" s="704">
        <f t="shared" ref="U28:U46" si="13">H28</f>
        <v>100</v>
      </c>
      <c r="V28" s="703" t="s">
        <v>14</v>
      </c>
      <c r="W28" s="704">
        <f t="shared" ref="W28:W46" si="14">J28</f>
        <v>100</v>
      </c>
      <c r="X28" s="1352"/>
      <c r="Y28" s="3668"/>
      <c r="Z28" s="1353" t="str">
        <f t="shared" ref="Z28:Z46" si="15">Q28</f>
        <v>楼层</v>
      </c>
      <c r="AA28" s="1350">
        <f t="shared" si="3"/>
        <v>1</v>
      </c>
      <c r="AB28" s="1350">
        <f t="shared" si="4"/>
        <v>1</v>
      </c>
      <c r="AC28" s="1350">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0"/>
      <c r="L29" s="2713"/>
      <c r="M29" s="2707"/>
      <c r="N29" s="2707"/>
      <c r="O29" s="2707"/>
      <c r="P29" s="3734"/>
      <c r="Q29" s="1349">
        <f t="shared" si="11"/>
        <v>111</v>
      </c>
      <c r="R29" s="703" t="s">
        <v>14</v>
      </c>
      <c r="S29" s="704">
        <f t="shared" si="12"/>
        <v>100</v>
      </c>
      <c r="T29" s="703" t="s">
        <v>14</v>
      </c>
      <c r="U29" s="704">
        <f t="shared" si="13"/>
        <v>100</v>
      </c>
      <c r="V29" s="703" t="s">
        <v>14</v>
      </c>
      <c r="W29" s="704">
        <f t="shared" si="14"/>
        <v>100</v>
      </c>
      <c r="X29" s="1352"/>
      <c r="Y29" s="3668"/>
      <c r="Z29" s="1353">
        <f t="shared" si="15"/>
        <v>111</v>
      </c>
      <c r="AA29" s="1350">
        <f t="shared" si="3"/>
        <v>1</v>
      </c>
      <c r="AB29" s="1350">
        <f t="shared" si="4"/>
        <v>1</v>
      </c>
      <c r="AC29" s="1350">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0"/>
      <c r="L30" s="2713"/>
      <c r="M30" s="2707"/>
      <c r="N30" s="2707"/>
      <c r="O30" s="2707"/>
      <c r="P30" s="3734"/>
      <c r="Q30" s="1349">
        <f t="shared" si="11"/>
        <v>111</v>
      </c>
      <c r="R30" s="703" t="s">
        <v>14</v>
      </c>
      <c r="S30" s="704">
        <f t="shared" si="12"/>
        <v>100</v>
      </c>
      <c r="T30" s="703" t="s">
        <v>14</v>
      </c>
      <c r="U30" s="704">
        <f t="shared" si="13"/>
        <v>100</v>
      </c>
      <c r="V30" s="703" t="s">
        <v>14</v>
      </c>
      <c r="W30" s="704">
        <f t="shared" si="14"/>
        <v>100</v>
      </c>
      <c r="X30" s="1352"/>
      <c r="Y30" s="3668"/>
      <c r="Z30" s="1353">
        <f t="shared" si="15"/>
        <v>111</v>
      </c>
      <c r="AA30" s="1350">
        <f t="shared" si="3"/>
        <v>1</v>
      </c>
      <c r="AB30" s="1350">
        <f t="shared" si="4"/>
        <v>1</v>
      </c>
      <c r="AC30" s="1350">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0"/>
      <c r="L31" s="2713"/>
      <c r="M31" s="2707"/>
      <c r="N31" s="2707"/>
      <c r="O31" s="2707"/>
      <c r="P31" s="3734"/>
      <c r="Q31" s="1349">
        <f t="shared" si="11"/>
        <v>111</v>
      </c>
      <c r="R31" s="703" t="s">
        <v>14</v>
      </c>
      <c r="S31" s="704">
        <f t="shared" si="12"/>
        <v>100</v>
      </c>
      <c r="T31" s="703" t="s">
        <v>14</v>
      </c>
      <c r="U31" s="704">
        <f t="shared" si="13"/>
        <v>100</v>
      </c>
      <c r="V31" s="703" t="s">
        <v>14</v>
      </c>
      <c r="W31" s="704">
        <f t="shared" si="14"/>
        <v>100</v>
      </c>
      <c r="X31" s="1352"/>
      <c r="Y31" s="3668"/>
      <c r="Z31" s="1353">
        <f t="shared" si="15"/>
        <v>111</v>
      </c>
      <c r="AA31" s="1350">
        <f t="shared" si="3"/>
        <v>1</v>
      </c>
      <c r="AB31" s="1350">
        <f t="shared" si="4"/>
        <v>1</v>
      </c>
      <c r="AC31" s="1350">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59"/>
      <c r="L32" s="2713"/>
      <c r="M32" s="2707"/>
      <c r="N32" s="2707"/>
      <c r="O32" s="2707"/>
      <c r="P32" s="3729" t="s">
        <v>1694</v>
      </c>
      <c r="Q32" s="1349" t="str">
        <f t="shared" si="11"/>
        <v>商业类型</v>
      </c>
      <c r="R32" s="703" t="s">
        <v>14</v>
      </c>
      <c r="S32" s="704">
        <f t="shared" si="12"/>
        <v>100</v>
      </c>
      <c r="T32" s="703" t="s">
        <v>14</v>
      </c>
      <c r="U32" s="704">
        <f t="shared" si="13"/>
        <v>100</v>
      </c>
      <c r="V32" s="703" t="s">
        <v>14</v>
      </c>
      <c r="W32" s="704">
        <f t="shared" si="14"/>
        <v>100</v>
      </c>
      <c r="X32" s="1352"/>
      <c r="Y32" s="3670" t="s">
        <v>1694</v>
      </c>
      <c r="Z32" s="1353" t="str">
        <f t="shared" si="15"/>
        <v>商业类型</v>
      </c>
      <c r="AA32" s="1350">
        <f t="shared" si="3"/>
        <v>1</v>
      </c>
      <c r="AB32" s="1350">
        <f t="shared" si="4"/>
        <v>1</v>
      </c>
      <c r="AC32" s="1350">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0"/>
      <c r="L33" s="2712"/>
      <c r="M33" s="2714"/>
      <c r="N33" s="2714"/>
      <c r="O33" s="2714"/>
      <c r="P33" s="3730"/>
      <c r="Q33" s="705" t="str">
        <f t="shared" si="11"/>
        <v>项目建筑规模</v>
      </c>
      <c r="R33" s="706" t="s">
        <v>14</v>
      </c>
      <c r="S33" s="707" t="e">
        <f t="shared" si="12"/>
        <v>#N/A</v>
      </c>
      <c r="T33" s="706" t="s">
        <v>14</v>
      </c>
      <c r="U33" s="707" t="e">
        <f t="shared" si="13"/>
        <v>#N/A</v>
      </c>
      <c r="V33" s="706" t="s">
        <v>14</v>
      </c>
      <c r="W33" s="707" t="e">
        <f t="shared" si="14"/>
        <v>#N/A</v>
      </c>
      <c r="X33" s="708"/>
      <c r="Y33" s="3670"/>
      <c r="Z33" s="709" t="str">
        <f t="shared" si="15"/>
        <v>项目建筑规模</v>
      </c>
      <c r="AA33" s="1350" t="e">
        <f t="shared" si="3"/>
        <v>#N/A</v>
      </c>
      <c r="AB33" s="1350" t="e">
        <f t="shared" si="4"/>
        <v>#N/A</v>
      </c>
      <c r="AC33" s="1350" t="e">
        <f t="shared" si="5"/>
        <v>#N/A</v>
      </c>
    </row>
    <row r="34" spans="1:29" ht="15">
      <c r="A34" s="423"/>
      <c r="B34" s="375" t="s">
        <v>1696</v>
      </c>
      <c r="C34" s="1907"/>
      <c r="D34" s="386">
        <v>100</v>
      </c>
      <c r="E34" s="1907"/>
      <c r="F34" s="412">
        <f>SUMIF(105:105,E34,106:106)-SUMIF(105:105,C34,106:106)+100</f>
        <v>100</v>
      </c>
      <c r="G34" s="1907"/>
      <c r="H34" s="386">
        <f>SUMIF(105:105,G34,106:106)-SUMIF(105:105,C34,106:106)+100</f>
        <v>100</v>
      </c>
      <c r="I34" s="1907"/>
      <c r="J34" s="386">
        <f>SUMIF(105:105,I34,106:106)-SUMIF(105:105,C34,106:106)+100</f>
        <v>100</v>
      </c>
      <c r="K34" s="559"/>
      <c r="L34" s="2713"/>
      <c r="M34" s="2707"/>
      <c r="N34" s="2707"/>
      <c r="O34" s="2707"/>
      <c r="P34" s="3730"/>
      <c r="Q34" s="1349" t="str">
        <f t="shared" si="11"/>
        <v>建筑结构</v>
      </c>
      <c r="R34" s="703" t="s">
        <v>14</v>
      </c>
      <c r="S34" s="704">
        <f t="shared" si="12"/>
        <v>100</v>
      </c>
      <c r="T34" s="703" t="s">
        <v>14</v>
      </c>
      <c r="U34" s="704">
        <f t="shared" si="13"/>
        <v>100</v>
      </c>
      <c r="V34" s="703" t="s">
        <v>14</v>
      </c>
      <c r="W34" s="704">
        <f t="shared" si="14"/>
        <v>100</v>
      </c>
      <c r="X34" s="1352"/>
      <c r="Y34" s="3670"/>
      <c r="Z34" s="1353" t="str">
        <f t="shared" si="15"/>
        <v>建筑结构</v>
      </c>
      <c r="AA34" s="1350">
        <f t="shared" si="3"/>
        <v>1</v>
      </c>
      <c r="AB34" s="1350">
        <f t="shared" si="4"/>
        <v>1</v>
      </c>
      <c r="AC34" s="1350">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59"/>
      <c r="L35" s="2713"/>
      <c r="M35" s="2707"/>
      <c r="N35" s="2707"/>
      <c r="O35" s="2707"/>
      <c r="P35" s="3730"/>
      <c r="Q35" s="1349" t="str">
        <f t="shared" si="11"/>
        <v>公共部分装修</v>
      </c>
      <c r="R35" s="703" t="s">
        <v>14</v>
      </c>
      <c r="S35" s="704">
        <f t="shared" si="12"/>
        <v>100</v>
      </c>
      <c r="T35" s="703" t="s">
        <v>14</v>
      </c>
      <c r="U35" s="704">
        <f t="shared" si="13"/>
        <v>100</v>
      </c>
      <c r="V35" s="703" t="s">
        <v>14</v>
      </c>
      <c r="W35" s="704">
        <f t="shared" si="14"/>
        <v>100</v>
      </c>
      <c r="X35" s="1352"/>
      <c r="Y35" s="3670"/>
      <c r="Z35" s="1353" t="str">
        <f t="shared" si="15"/>
        <v>公共部分装修</v>
      </c>
      <c r="AA35" s="1350">
        <f t="shared" si="3"/>
        <v>1</v>
      </c>
      <c r="AB35" s="1350">
        <f t="shared" si="4"/>
        <v>1</v>
      </c>
      <c r="AC35" s="1350">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59"/>
      <c r="L36" s="2713"/>
      <c r="M36" s="2707"/>
      <c r="N36" s="2707"/>
      <c r="O36" s="2707"/>
      <c r="P36" s="3730"/>
      <c r="Q36" s="1349" t="str">
        <f t="shared" si="11"/>
        <v>成新度</v>
      </c>
      <c r="R36" s="703" t="s">
        <v>14</v>
      </c>
      <c r="S36" s="704" t="e">
        <f t="shared" si="12"/>
        <v>#N/A</v>
      </c>
      <c r="T36" s="703" t="s">
        <v>14</v>
      </c>
      <c r="U36" s="704" t="e">
        <f t="shared" si="13"/>
        <v>#N/A</v>
      </c>
      <c r="V36" s="703" t="s">
        <v>14</v>
      </c>
      <c r="W36" s="704" t="e">
        <f t="shared" si="14"/>
        <v>#N/A</v>
      </c>
      <c r="X36" s="1352"/>
      <c r="Y36" s="3670"/>
      <c r="Z36" s="1353" t="str">
        <f t="shared" si="15"/>
        <v>成新度</v>
      </c>
      <c r="AA36" s="1350" t="e">
        <f t="shared" si="3"/>
        <v>#N/A</v>
      </c>
      <c r="AB36" s="1350" t="e">
        <f t="shared" si="4"/>
        <v>#N/A</v>
      </c>
      <c r="AC36" s="1350"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59"/>
      <c r="L37" s="2708"/>
      <c r="M37" s="2709"/>
      <c r="N37" s="2709"/>
      <c r="O37" s="2709"/>
      <c r="P37" s="3730"/>
      <c r="Q37" s="1340" t="str">
        <f t="shared" si="11"/>
        <v>市政基础设施</v>
      </c>
      <c r="R37" s="699" t="s">
        <v>14</v>
      </c>
      <c r="S37" s="700">
        <f t="shared" si="12"/>
        <v>100</v>
      </c>
      <c r="T37" s="699" t="s">
        <v>14</v>
      </c>
      <c r="U37" s="700">
        <f t="shared" si="13"/>
        <v>100</v>
      </c>
      <c r="V37" s="699" t="s">
        <v>14</v>
      </c>
      <c r="W37" s="700">
        <f t="shared" si="14"/>
        <v>100</v>
      </c>
      <c r="X37" s="701"/>
      <c r="Y37" s="3670"/>
      <c r="Z37" s="52" t="str">
        <f t="shared" si="15"/>
        <v>市政基础设施</v>
      </c>
      <c r="AA37" s="702">
        <f t="shared" si="3"/>
        <v>1</v>
      </c>
      <c r="AB37" s="702">
        <f t="shared" si="4"/>
        <v>1</v>
      </c>
      <c r="AC37" s="702">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59"/>
      <c r="L38" s="2713"/>
      <c r="M38" s="2707"/>
      <c r="N38" s="2707"/>
      <c r="O38" s="2707"/>
      <c r="P38" s="3730" t="s">
        <v>1694</v>
      </c>
      <c r="Q38" s="1349" t="str">
        <f t="shared" si="11"/>
        <v>业态</v>
      </c>
      <c r="R38" s="703" t="s">
        <v>14</v>
      </c>
      <c r="S38" s="704">
        <f t="shared" si="12"/>
        <v>100</v>
      </c>
      <c r="T38" s="703" t="s">
        <v>14</v>
      </c>
      <c r="U38" s="704">
        <f t="shared" si="13"/>
        <v>100</v>
      </c>
      <c r="V38" s="703" t="s">
        <v>14</v>
      </c>
      <c r="W38" s="704">
        <f t="shared" si="14"/>
        <v>100</v>
      </c>
      <c r="X38" s="1352"/>
      <c r="Y38" s="3670" t="s">
        <v>1694</v>
      </c>
      <c r="Z38" s="1353" t="str">
        <f t="shared" si="15"/>
        <v>业态</v>
      </c>
      <c r="AA38" s="1350">
        <f t="shared" si="3"/>
        <v>1</v>
      </c>
      <c r="AB38" s="1350">
        <f t="shared" si="4"/>
        <v>1</v>
      </c>
      <c r="AC38" s="1350">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59"/>
      <c r="L39" s="2713"/>
      <c r="M39" s="2707"/>
      <c r="N39" s="2707"/>
      <c r="O39" s="2707"/>
      <c r="P39" s="3730"/>
      <c r="Q39" s="1349" t="str">
        <f t="shared" si="11"/>
        <v>层高</v>
      </c>
      <c r="R39" s="703" t="s">
        <v>14</v>
      </c>
      <c r="S39" s="704">
        <f t="shared" si="12"/>
        <v>100</v>
      </c>
      <c r="T39" s="703" t="s">
        <v>14</v>
      </c>
      <c r="U39" s="704">
        <f t="shared" si="13"/>
        <v>100</v>
      </c>
      <c r="V39" s="703" t="s">
        <v>14</v>
      </c>
      <c r="W39" s="704">
        <f t="shared" si="14"/>
        <v>100</v>
      </c>
      <c r="X39" s="1352"/>
      <c r="Y39" s="3670"/>
      <c r="Z39" s="1353" t="str">
        <f t="shared" si="15"/>
        <v>层高</v>
      </c>
      <c r="AA39" s="1350">
        <f t="shared" si="3"/>
        <v>1</v>
      </c>
      <c r="AB39" s="1350">
        <f t="shared" si="4"/>
        <v>1</v>
      </c>
      <c r="AC39" s="1350">
        <f t="shared" si="5"/>
        <v>1</v>
      </c>
    </row>
    <row r="40" spans="1:29" ht="15">
      <c r="A40" s="423"/>
      <c r="B40" s="375" t="s">
        <v>1788</v>
      </c>
      <c r="C40" s="564"/>
      <c r="D40" s="386">
        <v>100</v>
      </c>
      <c r="E40" s="565"/>
      <c r="F40" s="412">
        <f>SUMIF(118:118,E40,119:119)-SUMIF(118:118,C40,119:119)+100</f>
        <v>100</v>
      </c>
      <c r="G40" s="565"/>
      <c r="H40" s="386">
        <f>SUMIF(118:118,G40,119:119)-SUMIF(118:118,C40,119:119)+100</f>
        <v>100</v>
      </c>
      <c r="I40" s="565"/>
      <c r="J40" s="386">
        <f>SUMIF(118:118,I40,119:119)-SUMIF(118:118,C40,119:119)+100</f>
        <v>100</v>
      </c>
      <c r="K40" s="560"/>
      <c r="L40" s="2713"/>
      <c r="M40" s="2707"/>
      <c r="N40" s="2707"/>
      <c r="O40" s="2707"/>
      <c r="P40" s="3730"/>
      <c r="Q40" s="1349" t="str">
        <f t="shared" si="11"/>
        <v>单套建筑面积</v>
      </c>
      <c r="R40" s="703" t="s">
        <v>14</v>
      </c>
      <c r="S40" s="704">
        <f t="shared" si="12"/>
        <v>100</v>
      </c>
      <c r="T40" s="703" t="s">
        <v>14</v>
      </c>
      <c r="U40" s="704">
        <f t="shared" si="13"/>
        <v>100</v>
      </c>
      <c r="V40" s="703" t="s">
        <v>14</v>
      </c>
      <c r="W40" s="704">
        <f t="shared" si="14"/>
        <v>100</v>
      </c>
      <c r="X40" s="1352"/>
      <c r="Y40" s="3670"/>
      <c r="Z40" s="1353" t="str">
        <f t="shared" si="15"/>
        <v>单套建筑面积</v>
      </c>
      <c r="AA40" s="1350">
        <f t="shared" si="3"/>
        <v>1</v>
      </c>
      <c r="AB40" s="1350">
        <f t="shared" si="4"/>
        <v>1</v>
      </c>
      <c r="AC40" s="1350">
        <f t="shared" si="5"/>
        <v>1</v>
      </c>
    </row>
    <row r="41" spans="1:29" s="422" customFormat="1" ht="15">
      <c r="A41" s="419"/>
      <c r="B41" s="1351" t="s">
        <v>1789</v>
      </c>
      <c r="C41" s="563"/>
      <c r="D41" s="386">
        <v>100</v>
      </c>
      <c r="E41" s="563"/>
      <c r="F41" s="412">
        <f>SUMIF(120:120,E41,121:121)-SUMIF(120:120,C41,121:121)+100</f>
        <v>100</v>
      </c>
      <c r="G41" s="563"/>
      <c r="H41" s="386">
        <f>SUMIF(120:120,G41,121:121)-SUMIF(120:120,C41,121:121)+100</f>
        <v>100</v>
      </c>
      <c r="I41" s="563"/>
      <c r="J41" s="386">
        <f>SUMIF(120:120,I41,121:121)-SUMIF(120:120,C41,121:121)+100</f>
        <v>100</v>
      </c>
      <c r="K41" s="559"/>
      <c r="L41" s="2712"/>
      <c r="M41" s="2714"/>
      <c r="N41" s="2714"/>
      <c r="O41" s="2714"/>
      <c r="P41" s="3730"/>
      <c r="Q41" s="705" t="str">
        <f t="shared" si="11"/>
        <v>进深比</v>
      </c>
      <c r="R41" s="706" t="s">
        <v>14</v>
      </c>
      <c r="S41" s="707">
        <f t="shared" si="12"/>
        <v>100</v>
      </c>
      <c r="T41" s="706" t="s">
        <v>14</v>
      </c>
      <c r="U41" s="707">
        <f t="shared" si="13"/>
        <v>100</v>
      </c>
      <c r="V41" s="706" t="s">
        <v>14</v>
      </c>
      <c r="W41" s="707">
        <f t="shared" si="14"/>
        <v>100</v>
      </c>
      <c r="X41" s="708"/>
      <c r="Y41" s="3670"/>
      <c r="Z41" s="709" t="str">
        <f t="shared" si="15"/>
        <v>进深比</v>
      </c>
      <c r="AA41" s="1350">
        <f t="shared" si="3"/>
        <v>1</v>
      </c>
      <c r="AB41" s="1350">
        <f t="shared" si="4"/>
        <v>1</v>
      </c>
      <c r="AC41" s="1350">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59"/>
      <c r="L42" s="2713"/>
      <c r="M42" s="2707"/>
      <c r="N42" s="2707"/>
      <c r="O42" s="2707"/>
      <c r="P42" s="3730"/>
      <c r="Q42" s="1349" t="str">
        <f t="shared" si="11"/>
        <v>内部装修</v>
      </c>
      <c r="R42" s="703" t="s">
        <v>14</v>
      </c>
      <c r="S42" s="704">
        <f t="shared" si="12"/>
        <v>100</v>
      </c>
      <c r="T42" s="703" t="s">
        <v>14</v>
      </c>
      <c r="U42" s="704">
        <f t="shared" si="13"/>
        <v>100</v>
      </c>
      <c r="V42" s="703" t="s">
        <v>14</v>
      </c>
      <c r="W42" s="704">
        <f t="shared" si="14"/>
        <v>100</v>
      </c>
      <c r="X42" s="1352"/>
      <c r="Y42" s="3670"/>
      <c r="Z42" s="1353" t="str">
        <f t="shared" si="15"/>
        <v>内部装修</v>
      </c>
      <c r="AA42" s="1350">
        <f t="shared" si="3"/>
        <v>1</v>
      </c>
      <c r="AB42" s="1350">
        <f t="shared" si="4"/>
        <v>1</v>
      </c>
      <c r="AC42" s="1350">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59"/>
      <c r="L43" s="2713"/>
      <c r="M43" s="2707"/>
      <c r="N43" s="2707"/>
      <c r="O43" s="2707"/>
      <c r="P43" s="3730"/>
      <c r="Q43" s="1349" t="str">
        <f t="shared" si="11"/>
        <v>内部装修维护情况</v>
      </c>
      <c r="R43" s="703" t="s">
        <v>14</v>
      </c>
      <c r="S43" s="704">
        <f t="shared" si="12"/>
        <v>100</v>
      </c>
      <c r="T43" s="703" t="s">
        <v>14</v>
      </c>
      <c r="U43" s="704">
        <f t="shared" si="13"/>
        <v>100</v>
      </c>
      <c r="V43" s="703" t="s">
        <v>14</v>
      </c>
      <c r="W43" s="704">
        <f t="shared" si="14"/>
        <v>100</v>
      </c>
      <c r="X43" s="1352"/>
      <c r="Y43" s="3670"/>
      <c r="Z43" s="1353" t="str">
        <f t="shared" si="15"/>
        <v>内部装修维护情况</v>
      </c>
      <c r="AA43" s="1350">
        <f t="shared" si="3"/>
        <v>1</v>
      </c>
      <c r="AB43" s="1350">
        <f t="shared" si="4"/>
        <v>1</v>
      </c>
      <c r="AC43" s="1350">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0"/>
      <c r="L44" s="2708"/>
      <c r="M44" s="2709"/>
      <c r="N44" s="2709"/>
      <c r="O44" s="2709"/>
      <c r="P44" s="3730"/>
      <c r="Q44" s="1340">
        <f t="shared" si="11"/>
        <v>111</v>
      </c>
      <c r="R44" s="699" t="s">
        <v>14</v>
      </c>
      <c r="S44" s="700">
        <f t="shared" si="12"/>
        <v>100</v>
      </c>
      <c r="T44" s="699" t="s">
        <v>14</v>
      </c>
      <c r="U44" s="700">
        <f t="shared" si="13"/>
        <v>100</v>
      </c>
      <c r="V44" s="699" t="s">
        <v>14</v>
      </c>
      <c r="W44" s="700">
        <f t="shared" si="14"/>
        <v>100</v>
      </c>
      <c r="X44" s="701"/>
      <c r="Y44" s="367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0"/>
      <c r="L45" s="2713"/>
      <c r="M45" s="2707"/>
      <c r="N45" s="2707"/>
      <c r="O45" s="2707"/>
      <c r="P45" s="3730"/>
      <c r="Q45" s="1349">
        <f t="shared" si="11"/>
        <v>111</v>
      </c>
      <c r="R45" s="703" t="s">
        <v>14</v>
      </c>
      <c r="S45" s="704">
        <f t="shared" si="12"/>
        <v>100</v>
      </c>
      <c r="T45" s="703" t="s">
        <v>14</v>
      </c>
      <c r="U45" s="704">
        <f t="shared" si="13"/>
        <v>100</v>
      </c>
      <c r="V45" s="703" t="s">
        <v>14</v>
      </c>
      <c r="W45" s="704">
        <f t="shared" si="14"/>
        <v>100</v>
      </c>
      <c r="X45" s="1352"/>
      <c r="Y45" s="3670"/>
      <c r="Z45" s="1353">
        <f t="shared" si="15"/>
        <v>111</v>
      </c>
      <c r="AA45" s="1350">
        <f t="shared" si="3"/>
        <v>1</v>
      </c>
      <c r="AB45" s="1350">
        <f t="shared" si="4"/>
        <v>1</v>
      </c>
      <c r="AC45" s="1350">
        <f t="shared" si="5"/>
        <v>1</v>
      </c>
    </row>
    <row r="46" spans="1:29" ht="15.75" thickBot="1">
      <c r="A46" s="427"/>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0"/>
      <c r="L46" s="2713"/>
      <c r="M46" s="2707"/>
      <c r="N46" s="2707"/>
      <c r="O46" s="2707"/>
      <c r="P46" s="3731"/>
      <c r="Q46" s="1349">
        <f t="shared" si="11"/>
        <v>111</v>
      </c>
      <c r="R46" s="703" t="s">
        <v>14</v>
      </c>
      <c r="S46" s="704">
        <f t="shared" si="12"/>
        <v>100</v>
      </c>
      <c r="T46" s="703" t="s">
        <v>14</v>
      </c>
      <c r="U46" s="704">
        <f t="shared" si="13"/>
        <v>100</v>
      </c>
      <c r="V46" s="703" t="s">
        <v>14</v>
      </c>
      <c r="W46" s="704">
        <f t="shared" si="14"/>
        <v>100</v>
      </c>
      <c r="X46" s="1352"/>
      <c r="Y46" s="3732"/>
      <c r="Z46" s="1353">
        <f t="shared" si="15"/>
        <v>111</v>
      </c>
      <c r="AA46" s="1350">
        <f t="shared" si="3"/>
        <v>1</v>
      </c>
      <c r="AB46" s="1350">
        <f t="shared" si="4"/>
        <v>1</v>
      </c>
      <c r="AC46" s="1350">
        <f t="shared" si="5"/>
        <v>1</v>
      </c>
    </row>
    <row r="47" spans="1:29" ht="15">
      <c r="A47" s="428" t="s">
        <v>1706</v>
      </c>
      <c r="B47" s="429"/>
      <c r="C47" s="1152" t="s">
        <v>0</v>
      </c>
      <c r="D47" s="1153"/>
      <c r="E47" s="1154"/>
      <c r="F47" s="1155"/>
      <c r="G47" s="1156"/>
      <c r="H47" s="1157"/>
      <c r="I47" s="1154"/>
      <c r="J47" s="1157"/>
      <c r="K47" s="712"/>
      <c r="L47" s="2715"/>
      <c r="M47" s="2716"/>
      <c r="N47" s="2707"/>
      <c r="O47" s="2716"/>
      <c r="P47" s="3666" t="str">
        <f>A47</f>
        <v>成交单价（元/平方米）</v>
      </c>
      <c r="Q47" s="3666"/>
      <c r="R47" s="3671">
        <f>E47</f>
        <v>0</v>
      </c>
      <c r="S47" s="3671"/>
      <c r="T47" s="3671">
        <f>G47</f>
        <v>0</v>
      </c>
      <c r="U47" s="3671"/>
      <c r="V47" s="3671">
        <f>I47</f>
        <v>0</v>
      </c>
      <c r="W47" s="3671"/>
      <c r="X47" s="688"/>
      <c r="Y47" s="710"/>
      <c r="Z47" s="688"/>
      <c r="AA47" s="688"/>
      <c r="AB47" s="688"/>
      <c r="AC47" s="688"/>
    </row>
    <row r="48" spans="1:29" ht="15.75" thickBot="1">
      <c r="A48" s="435" t="s">
        <v>1791</v>
      </c>
      <c r="B48" s="436"/>
      <c r="C48" s="1158" t="e">
        <f>R49</f>
        <v>#DIV/0!</v>
      </c>
      <c r="D48" s="2311" t="s">
        <v>2136</v>
      </c>
      <c r="E48" s="1159" t="e">
        <f>R48</f>
        <v>#DIV/0!</v>
      </c>
      <c r="F48" s="2312"/>
      <c r="G48" s="1158" t="e">
        <f>T48</f>
        <v>#DIV/0!</v>
      </c>
      <c r="H48" s="2312"/>
      <c r="I48" s="1159" t="e">
        <f>V48</f>
        <v>#DIV/0!</v>
      </c>
      <c r="J48" s="2312"/>
      <c r="K48" s="2314">
        <f>F48+H48+J48</f>
        <v>0</v>
      </c>
      <c r="L48" s="2715"/>
      <c r="M48" s="2716"/>
      <c r="N48" s="2707"/>
      <c r="O48" s="2716"/>
      <c r="P48" s="3666" t="str">
        <f>A48</f>
        <v>比较价值（元/平方米）</v>
      </c>
      <c r="Q48" s="3666"/>
      <c r="R48" s="3728" t="e">
        <f>IF(F1="售价",ROUND(PRODUCT(R47,AA7:AA46),0),ROUND(PRODUCT(R47,AA7:AA46),1))</f>
        <v>#DIV/0!</v>
      </c>
      <c r="S48" s="3728"/>
      <c r="T48" s="3728" t="e">
        <f>IF(F1="售价",ROUND(PRODUCT(T47,AB7:AB46),0),ROUND(PRODUCT(T47,AB7:AB46),1))</f>
        <v>#DIV/0!</v>
      </c>
      <c r="U48" s="3728"/>
      <c r="V48" s="3728" t="e">
        <f>IF(F1="售价",ROUND(PRODUCT(V47,AC7:AC46),0),ROUND(PRODUCT(V47,AC7:AC46),1))</f>
        <v>#DIV/0!</v>
      </c>
      <c r="W48" s="3728"/>
      <c r="X48" s="688"/>
      <c r="Y48" s="688"/>
      <c r="Z48" s="688"/>
      <c r="AA48" s="688"/>
      <c r="AB48" s="688"/>
      <c r="AC48" s="688"/>
    </row>
    <row r="49" spans="1:29" ht="15.75" thickBot="1">
      <c r="A49" s="439" t="s">
        <v>1792</v>
      </c>
      <c r="B49" s="440"/>
      <c r="C49" s="1161" t="e">
        <f>R49</f>
        <v>#DIV/0!</v>
      </c>
      <c r="D49" s="1161"/>
      <c r="E49" s="1161"/>
      <c r="F49" s="1161"/>
      <c r="G49" s="1161"/>
      <c r="H49" s="1161"/>
      <c r="I49" s="1161"/>
      <c r="J49" s="1161"/>
      <c r="K49" s="713"/>
      <c r="L49" s="2715"/>
      <c r="M49" s="2716"/>
      <c r="N49" s="2707"/>
      <c r="O49" s="2716"/>
      <c r="P49" s="3660" t="str">
        <f>A49</f>
        <v>估价对象XX用房的比较价值（楼面单价，元/平方米）</v>
      </c>
      <c r="Q49" s="3661"/>
      <c r="R49" s="3727" t="e">
        <f>IF(F1="售价",ROUND(IF(D48="简单平均",AVERAGE(R48:V48),R48*F48+T48*H48+V48*J48),0),ROUND(IF(D48="简单平均",AVERAGE(R48:V48),R48*F48+T48*H48+V48*J48),1))</f>
        <v>#DIV/0!</v>
      </c>
      <c r="S49" s="3727"/>
      <c r="T49" s="3727"/>
      <c r="U49" s="3727"/>
      <c r="V49" s="3727"/>
      <c r="W49" s="3727"/>
      <c r="X49" s="688"/>
      <c r="Y49" s="688"/>
      <c r="Z49" s="688"/>
      <c r="AA49" s="688"/>
      <c r="AB49" s="688"/>
      <c r="AC49" s="688"/>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4" t="s">
        <v>1793</v>
      </c>
      <c r="D52" s="445"/>
      <c r="E52" s="446" t="e">
        <f>IF(E47&lt;E48,E48/E47-1,E47/E48-1)</f>
        <v>#DIV/0!</v>
      </c>
      <c r="F52" s="447" t="e">
        <f>IF(OR(E52&gt;=0.3,E52&lt;=-0.3),"超过30%","")</f>
        <v>#DIV/0!</v>
      </c>
      <c r="G52" s="446" t="e">
        <f>IF(G47&lt;G48,G48/G47-1,G47/G48-1)</f>
        <v>#DIV/0!</v>
      </c>
      <c r="H52" s="447" t="e">
        <f>IF(OR(G52&gt;=0.3,G52&lt;=-0.3),"超过30%","")</f>
        <v>#DIV/0!</v>
      </c>
      <c r="I52" s="446" t="e">
        <f>IF(I47&lt;I48,I48/I47-1,I47/I48-1)</f>
        <v>#DIV/0!</v>
      </c>
      <c r="J52" s="447" t="e">
        <f>IF(OR(I52&gt;=0.3,I52&lt;=-0.3),"超过30%","")</f>
        <v>#DIV/0!</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4" t="s">
        <v>1794</v>
      </c>
      <c r="D53" s="448"/>
      <c r="E53" s="446" t="e">
        <f>IF(E48&lt;G48,G48/E48-1,E48/G48-1)</f>
        <v>#DIV/0!</v>
      </c>
      <c r="F53" s="447" t="e">
        <f>IF(OR(E53&gt;=0.2,E53&lt;=-0.2),"超过20%","")</f>
        <v>#DIV/0!</v>
      </c>
      <c r="G53" s="446" t="e">
        <f>IF(G48&lt;I48,I48/G48-1,G48/I48-1)</f>
        <v>#DIV/0!</v>
      </c>
      <c r="H53" s="447" t="e">
        <f>IF(OR(G53&gt;=0.2,G53&lt;=-0.2),"超过20%","")</f>
        <v>#DIV/0!</v>
      </c>
      <c r="I53" s="446" t="e">
        <f>IF(I48&lt;E48,E48/I48-1,I48/E48-1)</f>
        <v>#DIV/0!</v>
      </c>
      <c r="J53" s="447" t="e">
        <f>IF(OR(I53&gt;=0.2,I53&lt;=-0.2),"超过20%","")</f>
        <v>#DIV/0!</v>
      </c>
      <c r="K53" s="2721"/>
      <c r="L53" s="2717"/>
      <c r="M53" s="2716"/>
      <c r="N53" s="2716"/>
      <c r="O53" s="2716"/>
      <c r="P53" s="2727"/>
      <c r="Q53" s="2716"/>
      <c r="R53" s="2716"/>
      <c r="S53" s="2716"/>
      <c r="T53" s="2716"/>
      <c r="U53" s="2716"/>
      <c r="V53" s="2716"/>
      <c r="W53" s="2716"/>
      <c r="X53" s="2716"/>
      <c r="Y53" s="2716"/>
      <c r="Z53" s="2716"/>
      <c r="AA53" s="2716"/>
      <c r="AB53" s="2716"/>
      <c r="AC53" s="2716"/>
    </row>
    <row r="54" spans="1:29" s="449" customFormat="1" ht="13.5" customHeight="1">
      <c r="A54" s="2719"/>
      <c r="B54" s="2719"/>
      <c r="C54" s="444" t="s">
        <v>1795</v>
      </c>
      <c r="D54" s="448"/>
      <c r="E54" s="446" t="e">
        <f>IF(E47&lt;G47,G47/E47-1,E47/G47-1)</f>
        <v>#DIV/0!</v>
      </c>
      <c r="F54" s="447" t="e">
        <f>IF(OR(E54&gt;=0.3,E54&lt;=-0.3),"超过30%","")</f>
        <v>#DIV/0!</v>
      </c>
      <c r="G54" s="446" t="e">
        <f>IF(G47&lt;I47,I47/G47-1,G47/I47-1)</f>
        <v>#DIV/0!</v>
      </c>
      <c r="H54" s="447" t="e">
        <f>IF(OR(G54&gt;=0.3,G54&lt;=-0.3),"超过30%","")</f>
        <v>#DIV/0!</v>
      </c>
      <c r="I54" s="446" t="e">
        <f>IF(I47&lt;E47,E47/I47-1,I47/E47-1)</f>
        <v>#DIV/0!</v>
      </c>
      <c r="J54" s="447"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49"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2" t="s">
        <v>1796</v>
      </c>
      <c r="B57" s="688"/>
      <c r="C57" s="693"/>
      <c r="D57" s="693"/>
      <c r="E57" s="693"/>
      <c r="F57" s="694"/>
      <c r="G57" s="694"/>
      <c r="H57" s="693"/>
      <c r="I57" s="693"/>
      <c r="J57" s="693"/>
      <c r="K57" s="695"/>
      <c r="L57" s="940"/>
      <c r="M57" s="938"/>
      <c r="N57" s="938"/>
      <c r="O57" s="938"/>
      <c r="P57" s="2729"/>
      <c r="Q57" s="2730"/>
      <c r="R57" s="2716"/>
      <c r="S57" s="2716"/>
      <c r="T57" s="2716"/>
      <c r="U57" s="2716"/>
      <c r="V57" s="2716"/>
      <c r="W57" s="2716"/>
      <c r="X57" s="2716"/>
      <c r="Y57" s="2716"/>
      <c r="Z57" s="2716"/>
      <c r="AA57" s="2716"/>
      <c r="AB57" s="2716"/>
      <c r="AC57" s="2716"/>
    </row>
    <row r="58" spans="1:29" s="455" customFormat="1" ht="15">
      <c r="A58" s="452" t="s">
        <v>1677</v>
      </c>
      <c r="B58" s="453"/>
      <c r="C58" s="1181" t="str">
        <f>YEAR(C7)&amp;"-"&amp;MONTH(C7)</f>
        <v>2024-10</v>
      </c>
      <c r="D58" s="1182">
        <f>EDATE(C58,-1)</f>
        <v>45536</v>
      </c>
      <c r="E58" s="1182">
        <f t="shared" ref="E58:N58" si="16">EDATE(D58,-1)</f>
        <v>45505</v>
      </c>
      <c r="F58" s="1182">
        <f t="shared" si="16"/>
        <v>45474</v>
      </c>
      <c r="G58" s="1182">
        <f t="shared" si="16"/>
        <v>45444</v>
      </c>
      <c r="H58" s="1182">
        <f t="shared" si="16"/>
        <v>45413</v>
      </c>
      <c r="I58" s="1182">
        <f t="shared" si="16"/>
        <v>45383</v>
      </c>
      <c r="J58" s="1182">
        <f t="shared" si="16"/>
        <v>45352</v>
      </c>
      <c r="K58" s="1182">
        <f t="shared" si="16"/>
        <v>45323</v>
      </c>
      <c r="L58" s="1182">
        <f t="shared" si="16"/>
        <v>45292</v>
      </c>
      <c r="M58" s="1182">
        <f t="shared" si="16"/>
        <v>45261</v>
      </c>
      <c r="N58" s="1182">
        <f t="shared" si="16"/>
        <v>45231</v>
      </c>
      <c r="O58" s="1182">
        <f>EDATE(N58,-1)</f>
        <v>45200</v>
      </c>
      <c r="P58" s="2731"/>
      <c r="Q58" s="2732"/>
      <c r="R58" s="2732"/>
      <c r="S58" s="2732"/>
      <c r="T58" s="2732"/>
      <c r="U58" s="2732"/>
      <c r="V58" s="2732"/>
      <c r="W58" s="2732"/>
      <c r="X58" s="2732"/>
      <c r="Y58" s="2732"/>
      <c r="Z58" s="2732"/>
      <c r="AA58" s="2732"/>
      <c r="AB58" s="2732"/>
      <c r="AC58" s="2732"/>
    </row>
    <row r="59" spans="1:29" s="108" customFormat="1" ht="15">
      <c r="A59" s="456"/>
      <c r="B59" s="457"/>
      <c r="C59" s="1180">
        <v>100</v>
      </c>
      <c r="D59" s="459"/>
      <c r="E59" s="459"/>
      <c r="F59" s="459"/>
      <c r="G59" s="459"/>
      <c r="H59" s="459"/>
      <c r="I59" s="459"/>
      <c r="J59" s="459"/>
      <c r="K59" s="459"/>
      <c r="L59" s="459"/>
      <c r="M59" s="460"/>
      <c r="N59" s="459"/>
      <c r="O59" s="460"/>
      <c r="P59" s="2733"/>
      <c r="Q59" s="2652"/>
      <c r="R59" s="2652"/>
      <c r="S59" s="2652"/>
      <c r="T59" s="2652"/>
      <c r="U59" s="2652"/>
      <c r="V59" s="2652"/>
      <c r="W59" s="2652"/>
      <c r="X59" s="2652"/>
      <c r="Y59" s="2652"/>
      <c r="Z59" s="2652"/>
      <c r="AA59" s="2652"/>
      <c r="AB59" s="2652"/>
      <c r="AC59" s="2652"/>
    </row>
    <row r="60" spans="1:29" s="108" customFormat="1" ht="15.75" thickBot="1">
      <c r="A60" s="462" t="s">
        <v>1714</v>
      </c>
      <c r="B60" s="463"/>
      <c r="C60" s="464"/>
      <c r="D60" s="465"/>
      <c r="E60" s="465"/>
      <c r="F60" s="465"/>
      <c r="G60" s="465"/>
      <c r="H60" s="465"/>
      <c r="I60" s="465"/>
      <c r="J60" s="465"/>
      <c r="K60" s="465"/>
      <c r="L60" s="465"/>
      <c r="M60" s="466"/>
      <c r="N60" s="465"/>
      <c r="O60" s="466"/>
      <c r="P60" s="2733"/>
      <c r="Q60" s="2730"/>
      <c r="R60" s="2652"/>
      <c r="S60" s="2652"/>
      <c r="T60" s="2652"/>
      <c r="U60" s="2652"/>
      <c r="V60" s="2652"/>
      <c r="W60" s="2652"/>
      <c r="X60" s="2652"/>
      <c r="Y60" s="2652"/>
      <c r="Z60" s="2652"/>
      <c r="AA60" s="2652"/>
      <c r="AB60" s="2652"/>
      <c r="AC60" s="2652"/>
    </row>
    <row r="61" spans="1:29" s="108" customFormat="1" ht="15">
      <c r="A61" s="468" t="s">
        <v>1679</v>
      </c>
      <c r="B61" s="457"/>
      <c r="C61" s="469" t="s">
        <v>1774</v>
      </c>
      <c r="D61" s="470"/>
      <c r="E61" s="470"/>
      <c r="F61" s="470"/>
      <c r="G61" s="470"/>
      <c r="H61" s="470"/>
      <c r="I61" s="470"/>
      <c r="J61" s="470"/>
      <c r="K61" s="470"/>
      <c r="L61" s="471"/>
      <c r="M61" s="472"/>
      <c r="N61" s="2743"/>
      <c r="O61" s="2743"/>
      <c r="P61" s="2734"/>
      <c r="Q61" s="2730"/>
      <c r="R61" s="2652"/>
      <c r="S61" s="2652"/>
      <c r="T61" s="2652"/>
      <c r="U61" s="2652"/>
      <c r="V61" s="2652"/>
      <c r="W61" s="2652"/>
      <c r="X61" s="2652"/>
      <c r="Y61" s="2652"/>
      <c r="Z61" s="2652"/>
      <c r="AA61" s="2652"/>
      <c r="AB61" s="2652"/>
      <c r="AC61" s="2652"/>
    </row>
    <row r="62" spans="1:29" s="108" customFormat="1" ht="15.75" thickBot="1">
      <c r="A62" s="468"/>
      <c r="B62" s="457"/>
      <c r="C62" s="458">
        <v>100</v>
      </c>
      <c r="D62" s="459"/>
      <c r="E62" s="459"/>
      <c r="F62" s="459"/>
      <c r="G62" s="459"/>
      <c r="H62" s="459"/>
      <c r="I62" s="459"/>
      <c r="J62" s="459"/>
      <c r="K62" s="459"/>
      <c r="L62" s="459"/>
      <c r="M62" s="461"/>
      <c r="N62" s="2743"/>
      <c r="O62" s="2743"/>
      <c r="P62" s="2733"/>
      <c r="Q62" s="2730"/>
      <c r="R62" s="2652"/>
      <c r="S62" s="2652"/>
      <c r="T62" s="2652"/>
      <c r="U62" s="2652"/>
      <c r="V62" s="2652"/>
      <c r="W62" s="2652"/>
      <c r="X62" s="2652"/>
      <c r="Y62" s="2652"/>
      <c r="Z62" s="2652"/>
      <c r="AA62" s="2652"/>
      <c r="AB62" s="2652"/>
      <c r="AC62" s="2652"/>
    </row>
    <row r="63" spans="1:29">
      <c r="A63" s="474" t="s">
        <v>1717</v>
      </c>
      <c r="B63" s="475" t="s">
        <v>1683</v>
      </c>
      <c r="C63" s="476">
        <f>C9</f>
        <v>0</v>
      </c>
      <c r="D63" s="477"/>
      <c r="E63" s="477"/>
      <c r="F63" s="477"/>
      <c r="G63" s="477"/>
      <c r="H63" s="477"/>
      <c r="I63" s="477"/>
      <c r="J63" s="477"/>
      <c r="K63" s="478"/>
      <c r="L63" s="479"/>
      <c r="M63" s="480"/>
      <c r="N63" s="2744"/>
      <c r="O63" s="2744"/>
      <c r="P63" s="2735"/>
      <c r="Q63" s="2730"/>
      <c r="R63" s="2716"/>
      <c r="S63" s="2716"/>
      <c r="T63" s="2716"/>
      <c r="U63" s="2716"/>
      <c r="V63" s="2716"/>
      <c r="W63" s="2716"/>
      <c r="X63" s="2716"/>
      <c r="Y63" s="2716"/>
      <c r="Z63" s="2716"/>
      <c r="AA63" s="2716"/>
      <c r="AB63" s="2716"/>
      <c r="AC63" s="2716"/>
    </row>
    <row r="64" spans="1:29" ht="15.75" thickBot="1">
      <c r="A64" s="481"/>
      <c r="B64" s="482"/>
      <c r="C64" s="483">
        <v>100</v>
      </c>
      <c r="D64" s="483"/>
      <c r="E64" s="483"/>
      <c r="F64" s="483"/>
      <c r="G64" s="483"/>
      <c r="H64" s="483"/>
      <c r="I64" s="483"/>
      <c r="J64" s="483"/>
      <c r="K64" s="483"/>
      <c r="L64" s="483"/>
      <c r="M64" s="484"/>
      <c r="N64" s="2745"/>
      <c r="O64" s="2745"/>
      <c r="P64" s="2735"/>
      <c r="Q64" s="2730"/>
      <c r="R64" s="2716"/>
      <c r="S64" s="2716"/>
      <c r="T64" s="2716"/>
      <c r="U64" s="2716"/>
      <c r="V64" s="2716"/>
      <c r="W64" s="2716"/>
      <c r="X64" s="2716"/>
      <c r="Y64" s="2716"/>
      <c r="Z64" s="2716"/>
      <c r="AA64" s="2716"/>
      <c r="AB64" s="2716"/>
      <c r="AC64" s="2716"/>
    </row>
    <row r="65" spans="1:29" ht="27.75" thickTop="1">
      <c r="A65" s="481"/>
      <c r="B65" s="485" t="s">
        <v>1686</v>
      </c>
      <c r="C65" s="530"/>
      <c r="D65" s="530"/>
      <c r="E65" s="530"/>
      <c r="F65" s="530"/>
      <c r="G65" s="530"/>
      <c r="H65" s="530"/>
      <c r="I65" s="530"/>
      <c r="J65" s="530"/>
      <c r="K65" s="531"/>
      <c r="L65" s="532"/>
      <c r="M65" s="533"/>
      <c r="N65" s="2744"/>
      <c r="O65" s="2744"/>
      <c r="P65" s="2735"/>
      <c r="Q65" s="2730"/>
      <c r="R65" s="2716"/>
      <c r="S65" s="2716"/>
      <c r="T65" s="2716"/>
      <c r="U65" s="2716"/>
      <c r="V65" s="2716"/>
      <c r="W65" s="2716"/>
      <c r="X65" s="2716"/>
      <c r="Y65" s="2716"/>
      <c r="Z65" s="2716"/>
      <c r="AA65" s="2716"/>
      <c r="AB65" s="2716"/>
      <c r="AC65" s="2716"/>
    </row>
    <row r="66" spans="1:29" ht="15.75" thickBot="1">
      <c r="A66" s="481"/>
      <c r="B66" s="490"/>
      <c r="C66" s="483"/>
      <c r="D66" s="483"/>
      <c r="E66" s="483"/>
      <c r="F66" s="483"/>
      <c r="G66" s="483"/>
      <c r="H66" s="483"/>
      <c r="I66" s="483"/>
      <c r="J66" s="483"/>
      <c r="K66" s="483"/>
      <c r="L66" s="483"/>
      <c r="M66" s="484"/>
      <c r="N66" s="2745"/>
      <c r="O66" s="2745"/>
      <c r="P66" s="2735"/>
      <c r="Q66" s="2730"/>
      <c r="R66" s="2716"/>
      <c r="S66" s="2716"/>
      <c r="T66" s="2716"/>
      <c r="U66" s="2716"/>
      <c r="V66" s="2716"/>
      <c r="W66" s="2716"/>
      <c r="X66" s="2716"/>
      <c r="Y66" s="2716"/>
      <c r="Z66" s="2716"/>
      <c r="AA66" s="2716"/>
      <c r="AB66" s="2716"/>
      <c r="AC66" s="2716"/>
    </row>
    <row r="67" spans="1:29" ht="15.75" thickTop="1">
      <c r="A67" s="481"/>
      <c r="B67" s="493" t="s">
        <v>1687</v>
      </c>
      <c r="C67" s="494" t="str">
        <f>C68&amp;"（含）"&amp;"-"&amp;D68</f>
        <v>（含）-</v>
      </c>
      <c r="D67" s="494" t="str">
        <f t="shared" ref="D67:L67" si="17">D68&amp;"（含）"&amp;"-"&amp;E68</f>
        <v>（含）-</v>
      </c>
      <c r="E67" s="494" t="str">
        <f t="shared" si="17"/>
        <v>（含）-</v>
      </c>
      <c r="F67" s="494" t="str">
        <f t="shared" si="17"/>
        <v>（含）-</v>
      </c>
      <c r="G67" s="494" t="str">
        <f t="shared" si="17"/>
        <v>（含）-</v>
      </c>
      <c r="H67" s="494" t="str">
        <f t="shared" si="17"/>
        <v>（含）-</v>
      </c>
      <c r="I67" s="494" t="str">
        <f t="shared" si="17"/>
        <v>（含）-</v>
      </c>
      <c r="J67" s="494" t="str">
        <f t="shared" si="17"/>
        <v>（含）-</v>
      </c>
      <c r="K67" s="494" t="str">
        <f t="shared" si="17"/>
        <v>（含）-</v>
      </c>
      <c r="L67" s="494" t="str">
        <f t="shared" si="17"/>
        <v>（含）-</v>
      </c>
      <c r="M67" s="399"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1"/>
      <c r="B68" s="495"/>
      <c r="C68" s="496"/>
      <c r="D68" s="496"/>
      <c r="E68" s="496"/>
      <c r="F68" s="496"/>
      <c r="G68" s="496"/>
      <c r="H68" s="496"/>
      <c r="I68" s="496"/>
      <c r="J68" s="496"/>
      <c r="K68" s="497"/>
      <c r="L68" s="498"/>
      <c r="M68" s="499"/>
      <c r="N68" s="2744"/>
      <c r="O68" s="2744"/>
      <c r="P68" s="2735"/>
      <c r="Q68" s="2730"/>
      <c r="R68" s="2716"/>
      <c r="S68" s="2716"/>
      <c r="T68" s="2716"/>
      <c r="U68" s="2716"/>
      <c r="V68" s="2716"/>
      <c r="W68" s="2716"/>
      <c r="X68" s="2716"/>
      <c r="Y68" s="2716"/>
      <c r="Z68" s="2716"/>
      <c r="AA68" s="2716"/>
      <c r="AB68" s="2716"/>
      <c r="AC68" s="2716"/>
    </row>
    <row r="69" spans="1:29" ht="15.75" thickBot="1">
      <c r="A69" s="481"/>
      <c r="B69" s="482"/>
      <c r="C69" s="491">
        <v>100</v>
      </c>
      <c r="D69" s="491">
        <f t="shared" ref="D69:M69" si="18">C69-$K11</f>
        <v>100</v>
      </c>
      <c r="E69" s="491">
        <f t="shared" si="18"/>
        <v>100</v>
      </c>
      <c r="F69" s="491">
        <f t="shared" si="18"/>
        <v>100</v>
      </c>
      <c r="G69" s="491">
        <f t="shared" si="18"/>
        <v>100</v>
      </c>
      <c r="H69" s="491">
        <f t="shared" si="18"/>
        <v>100</v>
      </c>
      <c r="I69" s="491">
        <f t="shared" si="18"/>
        <v>100</v>
      </c>
      <c r="J69" s="491">
        <f t="shared" si="18"/>
        <v>100</v>
      </c>
      <c r="K69" s="491">
        <f t="shared" si="18"/>
        <v>100</v>
      </c>
      <c r="L69" s="491">
        <f t="shared" si="18"/>
        <v>100</v>
      </c>
      <c r="M69" s="492">
        <f t="shared" si="18"/>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0"/>
      <c r="B70" s="485">
        <f>B12</f>
        <v>111</v>
      </c>
      <c r="C70" s="501"/>
      <c r="D70" s="501"/>
      <c r="E70" s="501"/>
      <c r="F70" s="501"/>
      <c r="G70" s="501"/>
      <c r="H70" s="502"/>
      <c r="I70" s="502"/>
      <c r="J70" s="502"/>
      <c r="K70" s="502"/>
      <c r="L70" s="503"/>
      <c r="M70" s="504"/>
      <c r="N70" s="2746"/>
      <c r="O70" s="2746"/>
      <c r="P70" s="2736"/>
      <c r="Q70" s="2737"/>
      <c r="R70" s="2738"/>
      <c r="S70" s="2738"/>
      <c r="T70" s="2738"/>
      <c r="U70" s="2738"/>
      <c r="V70" s="2738"/>
      <c r="W70" s="2738"/>
      <c r="X70" s="2738"/>
      <c r="Y70" s="2738"/>
      <c r="Z70" s="2738"/>
      <c r="AA70" s="2738"/>
      <c r="AB70" s="2738"/>
      <c r="AC70" s="2738"/>
    </row>
    <row r="71" spans="1:29" s="422" customFormat="1" ht="15.75" thickBot="1">
      <c r="A71" s="500"/>
      <c r="B71" s="490"/>
      <c r="C71" s="507"/>
      <c r="D71" s="483"/>
      <c r="E71" s="483"/>
      <c r="F71" s="483"/>
      <c r="G71" s="483"/>
      <c r="H71" s="483"/>
      <c r="I71" s="483"/>
      <c r="J71" s="483"/>
      <c r="K71" s="483"/>
      <c r="L71" s="483"/>
      <c r="M71" s="484"/>
      <c r="N71" s="2745"/>
      <c r="O71" s="2745"/>
      <c r="P71" s="2736"/>
      <c r="Q71" s="2737"/>
      <c r="R71" s="2738"/>
      <c r="S71" s="2738"/>
      <c r="T71" s="2738"/>
      <c r="U71" s="2738"/>
      <c r="V71" s="2738"/>
      <c r="W71" s="2738"/>
      <c r="X71" s="2738"/>
      <c r="Y71" s="2738"/>
      <c r="Z71" s="2738"/>
      <c r="AA71" s="2738"/>
      <c r="AB71" s="2738"/>
      <c r="AC71" s="2738"/>
    </row>
    <row r="72" spans="1:29" s="422" customFormat="1" ht="15.75" thickTop="1">
      <c r="A72" s="500"/>
      <c r="B72" s="485">
        <f>B13</f>
        <v>111</v>
      </c>
      <c r="C72" s="501"/>
      <c r="D72" s="501"/>
      <c r="E72" s="501"/>
      <c r="F72" s="501"/>
      <c r="G72" s="501"/>
      <c r="H72" s="502"/>
      <c r="I72" s="502"/>
      <c r="J72" s="502"/>
      <c r="K72" s="502"/>
      <c r="L72" s="503"/>
      <c r="M72" s="504"/>
      <c r="N72" s="2746"/>
      <c r="O72" s="2746"/>
      <c r="P72" s="2739"/>
      <c r="Q72" s="2740"/>
      <c r="R72" s="2738"/>
      <c r="S72" s="2738"/>
      <c r="T72" s="2738"/>
      <c r="U72" s="2738"/>
      <c r="V72" s="2738"/>
      <c r="W72" s="2738"/>
      <c r="X72" s="2738"/>
      <c r="Y72" s="2738"/>
      <c r="Z72" s="2738"/>
      <c r="AA72" s="2738"/>
      <c r="AB72" s="2738"/>
      <c r="AC72" s="2738"/>
    </row>
    <row r="73" spans="1:29" s="422" customFormat="1" ht="15.75" thickBot="1">
      <c r="A73" s="500"/>
      <c r="B73" s="490"/>
      <c r="C73" s="507"/>
      <c r="D73" s="483"/>
      <c r="E73" s="483"/>
      <c r="F73" s="483"/>
      <c r="G73" s="507"/>
      <c r="H73" s="509"/>
      <c r="I73" s="509"/>
      <c r="J73" s="509"/>
      <c r="K73" s="509"/>
      <c r="L73" s="509"/>
      <c r="M73" s="510"/>
      <c r="N73" s="2746"/>
      <c r="O73" s="2746"/>
      <c r="P73" s="2736"/>
      <c r="Q73" s="2737"/>
      <c r="R73" s="2738"/>
      <c r="S73" s="2738"/>
      <c r="T73" s="2738"/>
      <c r="U73" s="2738"/>
      <c r="V73" s="2738"/>
      <c r="W73" s="2738"/>
      <c r="X73" s="2738"/>
      <c r="Y73" s="2738"/>
      <c r="Z73" s="2738"/>
      <c r="AA73" s="2738"/>
      <c r="AB73" s="2738"/>
      <c r="AC73" s="2738"/>
    </row>
    <row r="74" spans="1:29" s="422" customFormat="1" ht="15.75" thickTop="1">
      <c r="A74" s="500"/>
      <c r="B74" s="493">
        <f>B14</f>
        <v>111</v>
      </c>
      <c r="C74" s="501"/>
      <c r="D74" s="501"/>
      <c r="E74" s="501"/>
      <c r="F74" s="501"/>
      <c r="G74" s="470"/>
      <c r="H74" s="511"/>
      <c r="I74" s="511"/>
      <c r="J74" s="511"/>
      <c r="K74" s="511"/>
      <c r="L74" s="512"/>
      <c r="M74" s="513"/>
      <c r="N74" s="2746"/>
      <c r="O74" s="2746"/>
      <c r="P74" s="2741"/>
      <c r="Q74" s="2737"/>
      <c r="R74" s="2738"/>
      <c r="S74" s="2738"/>
      <c r="T74" s="2738"/>
      <c r="U74" s="2738"/>
      <c r="V74" s="2738"/>
      <c r="W74" s="2738"/>
      <c r="X74" s="2738"/>
      <c r="Y74" s="2738"/>
      <c r="Z74" s="2738"/>
      <c r="AA74" s="2738"/>
      <c r="AB74" s="2738"/>
      <c r="AC74" s="2738"/>
    </row>
    <row r="75" spans="1:29" s="422" customFormat="1" ht="15.75" thickBot="1">
      <c r="A75" s="515"/>
      <c r="B75" s="516"/>
      <c r="C75" s="517"/>
      <c r="D75" s="517"/>
      <c r="E75" s="517"/>
      <c r="F75" s="517"/>
      <c r="G75" s="517"/>
      <c r="H75" s="518"/>
      <c r="I75" s="518"/>
      <c r="J75" s="518"/>
      <c r="K75" s="518"/>
      <c r="L75" s="518"/>
      <c r="M75" s="519"/>
      <c r="N75" s="2746"/>
      <c r="O75" s="2746"/>
      <c r="P75" s="2736"/>
      <c r="Q75" s="2737"/>
      <c r="R75" s="2738"/>
      <c r="S75" s="2738"/>
      <c r="T75" s="2738"/>
      <c r="U75" s="2738"/>
      <c r="V75" s="2738"/>
      <c r="W75" s="2738"/>
      <c r="X75" s="2738"/>
      <c r="Y75" s="2738"/>
      <c r="Z75" s="2738"/>
      <c r="AA75" s="2738"/>
      <c r="AB75" s="2738"/>
      <c r="AC75" s="2738"/>
    </row>
    <row r="76" spans="1:29">
      <c r="A76" s="474" t="s">
        <v>1688</v>
      </c>
      <c r="B76" s="475" t="s">
        <v>1718</v>
      </c>
      <c r="C76" s="520" t="s">
        <v>1719</v>
      </c>
      <c r="D76" s="520" t="s">
        <v>1720</v>
      </c>
      <c r="E76" s="520" t="s">
        <v>1721</v>
      </c>
      <c r="F76" s="520" t="s">
        <v>1722</v>
      </c>
      <c r="G76" s="520" t="s">
        <v>1723</v>
      </c>
      <c r="H76" s="476"/>
      <c r="I76" s="476"/>
      <c r="J76" s="476"/>
      <c r="K76" s="521"/>
      <c r="L76" s="522"/>
      <c r="M76" s="523"/>
      <c r="N76" s="2744"/>
      <c r="O76" s="2744"/>
      <c r="P76" s="2742"/>
      <c r="Q76" s="2730"/>
      <c r="R76" s="2716"/>
      <c r="S76" s="2716"/>
      <c r="T76" s="2716"/>
      <c r="U76" s="2716"/>
      <c r="V76" s="2716"/>
      <c r="W76" s="2716"/>
      <c r="X76" s="2716"/>
      <c r="Y76" s="2716"/>
      <c r="Z76" s="2716"/>
      <c r="AA76" s="2716"/>
      <c r="AB76" s="2716"/>
      <c r="AC76" s="2716"/>
    </row>
    <row r="77" spans="1:29" ht="15.75" thickBot="1">
      <c r="A77" s="481"/>
      <c r="B77" s="490"/>
      <c r="C77" s="491">
        <v>100</v>
      </c>
      <c r="D77" s="491">
        <f>C77-$K15</f>
        <v>100</v>
      </c>
      <c r="E77" s="491">
        <f>D77-$K15</f>
        <v>100</v>
      </c>
      <c r="F77" s="491">
        <f>E77-$K15</f>
        <v>100</v>
      </c>
      <c r="G77" s="491">
        <f>F77-$K15</f>
        <v>100</v>
      </c>
      <c r="H77" s="491"/>
      <c r="I77" s="491"/>
      <c r="J77" s="491"/>
      <c r="K77" s="491"/>
      <c r="L77" s="491"/>
      <c r="M77" s="492"/>
      <c r="N77" s="2745"/>
      <c r="O77" s="2745"/>
      <c r="P77" s="2735"/>
      <c r="Q77" s="2730"/>
      <c r="R77" s="2716"/>
      <c r="S77" s="2716"/>
      <c r="T77" s="2716"/>
      <c r="U77" s="2716"/>
      <c r="V77" s="2716"/>
      <c r="W77" s="2716"/>
      <c r="X77" s="2716"/>
      <c r="Y77" s="2716"/>
      <c r="Z77" s="2716"/>
      <c r="AA77" s="2716"/>
      <c r="AB77" s="2716"/>
      <c r="AC77" s="2716"/>
    </row>
    <row r="78" spans="1:29" ht="15.75" thickTop="1">
      <c r="A78" s="481"/>
      <c r="B78" s="485" t="s">
        <v>1724</v>
      </c>
      <c r="C78" s="525" t="s">
        <v>1719</v>
      </c>
      <c r="D78" s="525" t="s">
        <v>1720</v>
      </c>
      <c r="E78" s="525" t="s">
        <v>1721</v>
      </c>
      <c r="F78" s="525" t="s">
        <v>1722</v>
      </c>
      <c r="G78" s="525" t="s">
        <v>1723</v>
      </c>
      <c r="H78" s="486"/>
      <c r="I78" s="486"/>
      <c r="J78" s="486"/>
      <c r="K78" s="487"/>
      <c r="L78" s="488"/>
      <c r="M78" s="489"/>
      <c r="N78" s="2744"/>
      <c r="O78" s="2744"/>
      <c r="P78" s="2735"/>
      <c r="Q78" s="2730"/>
      <c r="R78" s="2716"/>
      <c r="S78" s="2716"/>
      <c r="T78" s="2716"/>
      <c r="U78" s="2716"/>
      <c r="V78" s="2716"/>
      <c r="W78" s="2716"/>
      <c r="X78" s="2716"/>
      <c r="Y78" s="2716"/>
      <c r="Z78" s="2716"/>
      <c r="AA78" s="2716"/>
      <c r="AB78" s="2716"/>
      <c r="AC78" s="2716"/>
    </row>
    <row r="79" spans="1:29" ht="15.75" thickBot="1">
      <c r="A79" s="481"/>
      <c r="B79" s="490"/>
      <c r="C79" s="491">
        <v>100</v>
      </c>
      <c r="D79" s="491">
        <f>C79-$K17</f>
        <v>100</v>
      </c>
      <c r="E79" s="491">
        <f>D79-$K17</f>
        <v>100</v>
      </c>
      <c r="F79" s="491">
        <f>E79-$K17</f>
        <v>100</v>
      </c>
      <c r="G79" s="491">
        <f>F79-$K17</f>
        <v>100</v>
      </c>
      <c r="H79" s="491"/>
      <c r="I79" s="491"/>
      <c r="J79" s="491"/>
      <c r="K79" s="491"/>
      <c r="L79" s="491"/>
      <c r="M79" s="492"/>
      <c r="N79" s="2745"/>
      <c r="O79" s="2745"/>
      <c r="P79" s="2735"/>
      <c r="Q79" s="2730"/>
      <c r="R79" s="2716"/>
      <c r="S79" s="2716"/>
      <c r="T79" s="2716"/>
      <c r="U79" s="2716"/>
      <c r="V79" s="2716"/>
      <c r="W79" s="2716"/>
      <c r="X79" s="2716"/>
      <c r="Y79" s="2716"/>
      <c r="Z79" s="2716"/>
      <c r="AA79" s="2716"/>
      <c r="AB79" s="2716"/>
      <c r="AC79" s="2716"/>
    </row>
    <row r="80" spans="1:29" ht="15.75" thickTop="1">
      <c r="A80" s="481"/>
      <c r="B80" s="485" t="s">
        <v>1725</v>
      </c>
      <c r="C80" s="525" t="s">
        <v>1719</v>
      </c>
      <c r="D80" s="525" t="s">
        <v>1720</v>
      </c>
      <c r="E80" s="525" t="s">
        <v>1721</v>
      </c>
      <c r="F80" s="525" t="s">
        <v>1722</v>
      </c>
      <c r="G80" s="525" t="s">
        <v>1723</v>
      </c>
      <c r="H80" s="486"/>
      <c r="I80" s="486"/>
      <c r="J80" s="486"/>
      <c r="K80" s="487"/>
      <c r="L80" s="488"/>
      <c r="M80" s="489"/>
      <c r="N80" s="2744"/>
      <c r="O80" s="2744"/>
      <c r="P80" s="2735"/>
      <c r="Q80" s="2730"/>
      <c r="R80" s="2716"/>
      <c r="S80" s="2716"/>
      <c r="T80" s="2716"/>
      <c r="U80" s="2716"/>
      <c r="V80" s="2716"/>
      <c r="W80" s="2716"/>
      <c r="X80" s="2716"/>
      <c r="Y80" s="2716"/>
      <c r="Z80" s="2716"/>
      <c r="AA80" s="2716"/>
      <c r="AB80" s="2716"/>
      <c r="AC80" s="2716"/>
    </row>
    <row r="81" spans="1:29" ht="15.75" thickBot="1">
      <c r="A81" s="481"/>
      <c r="B81" s="490"/>
      <c r="C81" s="491">
        <v>100</v>
      </c>
      <c r="D81" s="491">
        <f>C81-$K19</f>
        <v>100</v>
      </c>
      <c r="E81" s="491">
        <f>D81-$K19</f>
        <v>100</v>
      </c>
      <c r="F81" s="491">
        <f>E81-$K19</f>
        <v>100</v>
      </c>
      <c r="G81" s="491">
        <f>F81-$K19</f>
        <v>100</v>
      </c>
      <c r="H81" s="491"/>
      <c r="I81" s="491"/>
      <c r="J81" s="491"/>
      <c r="K81" s="491"/>
      <c r="L81" s="491"/>
      <c r="M81" s="492"/>
      <c r="N81" s="2745"/>
      <c r="O81" s="2745"/>
      <c r="P81" s="2735"/>
      <c r="Q81" s="2730"/>
      <c r="R81" s="2716"/>
      <c r="S81" s="2716"/>
      <c r="T81" s="2716"/>
      <c r="U81" s="2716"/>
      <c r="V81" s="2716"/>
      <c r="W81" s="2716"/>
      <c r="X81" s="2716"/>
      <c r="Y81" s="2716"/>
      <c r="Z81" s="2716"/>
      <c r="AA81" s="2716"/>
      <c r="AB81" s="2716"/>
      <c r="AC81" s="2716"/>
    </row>
    <row r="82" spans="1:29" ht="15.75" thickTop="1">
      <c r="A82" s="481"/>
      <c r="B82" s="493" t="s">
        <v>1777</v>
      </c>
      <c r="C82" s="606" t="s">
        <v>1797</v>
      </c>
      <c r="D82" s="606" t="s">
        <v>1798</v>
      </c>
      <c r="E82" s="606" t="s">
        <v>1799</v>
      </c>
      <c r="F82" s="606" t="s">
        <v>1800</v>
      </c>
      <c r="G82" s="606" t="s">
        <v>1801</v>
      </c>
      <c r="H82" s="486"/>
      <c r="I82" s="486"/>
      <c r="J82" s="486"/>
      <c r="K82" s="486"/>
      <c r="L82" s="486"/>
      <c r="M82" s="1127"/>
      <c r="N82" s="2745"/>
      <c r="O82" s="2745"/>
      <c r="P82" s="2735"/>
      <c r="Q82" s="2730"/>
      <c r="R82" s="2716"/>
      <c r="S82" s="2716"/>
      <c r="T82" s="2716"/>
      <c r="U82" s="2716"/>
      <c r="V82" s="2716"/>
      <c r="W82" s="2716"/>
      <c r="X82" s="2716"/>
      <c r="Y82" s="2716"/>
      <c r="Z82" s="2716"/>
      <c r="AA82" s="2716"/>
      <c r="AB82" s="2716"/>
      <c r="AC82" s="2716"/>
    </row>
    <row r="83" spans="1:29" ht="15.75" thickBot="1">
      <c r="A83" s="481"/>
      <c r="B83" s="493"/>
      <c r="C83" s="491">
        <v>100</v>
      </c>
      <c r="D83" s="491">
        <f>C83-$K21</f>
        <v>100</v>
      </c>
      <c r="E83" s="491">
        <f t="shared" ref="E83:G83" si="19">D83-$K21</f>
        <v>100</v>
      </c>
      <c r="F83" s="491">
        <f t="shared" si="19"/>
        <v>100</v>
      </c>
      <c r="G83" s="491">
        <f t="shared" si="19"/>
        <v>100</v>
      </c>
      <c r="H83" s="606"/>
      <c r="I83" s="606"/>
      <c r="J83" s="606"/>
      <c r="K83" s="606"/>
      <c r="L83" s="606"/>
      <c r="M83" s="401"/>
      <c r="N83" s="2745"/>
      <c r="O83" s="2745"/>
      <c r="P83" s="2735"/>
      <c r="Q83" s="2730"/>
      <c r="R83" s="2716"/>
      <c r="S83" s="2716"/>
      <c r="T83" s="2716"/>
      <c r="U83" s="2716"/>
      <c r="V83" s="2716"/>
      <c r="W83" s="2716"/>
      <c r="X83" s="2716"/>
      <c r="Y83" s="2716"/>
      <c r="Z83" s="2716"/>
      <c r="AA83" s="2716"/>
      <c r="AB83" s="2716"/>
      <c r="AC83" s="2716"/>
    </row>
    <row r="84" spans="1:29" ht="15.75" thickTop="1">
      <c r="A84" s="481"/>
      <c r="B84" s="485" t="s">
        <v>1731</v>
      </c>
      <c r="C84" s="525" t="s">
        <v>1719</v>
      </c>
      <c r="D84" s="525" t="s">
        <v>1720</v>
      </c>
      <c r="E84" s="525" t="s">
        <v>1721</v>
      </c>
      <c r="F84" s="525" t="s">
        <v>1722</v>
      </c>
      <c r="G84" s="525" t="s">
        <v>1723</v>
      </c>
      <c r="H84" s="486"/>
      <c r="I84" s="486"/>
      <c r="J84" s="486"/>
      <c r="K84" s="487"/>
      <c r="L84" s="488"/>
      <c r="M84" s="489"/>
      <c r="N84" s="2744"/>
      <c r="O84" s="2744"/>
      <c r="P84" s="2735"/>
      <c r="Q84" s="2730"/>
      <c r="R84" s="2716"/>
      <c r="S84" s="2716"/>
      <c r="T84" s="2716"/>
      <c r="U84" s="2716"/>
      <c r="V84" s="2716"/>
      <c r="W84" s="2716"/>
      <c r="X84" s="2716"/>
      <c r="Y84" s="2716"/>
      <c r="Z84" s="2716"/>
      <c r="AA84" s="2716"/>
      <c r="AB84" s="2716"/>
      <c r="AC84" s="2716"/>
    </row>
    <row r="85" spans="1:29" ht="15.75" thickBot="1">
      <c r="A85" s="481"/>
      <c r="B85" s="490"/>
      <c r="C85" s="491">
        <v>100</v>
      </c>
      <c r="D85" s="491">
        <f>C85-$K23</f>
        <v>100</v>
      </c>
      <c r="E85" s="491">
        <f>D85-$K23</f>
        <v>100</v>
      </c>
      <c r="F85" s="491">
        <f>E85-$K23</f>
        <v>100</v>
      </c>
      <c r="G85" s="491">
        <f>F85-$K23</f>
        <v>100</v>
      </c>
      <c r="H85" s="491"/>
      <c r="I85" s="491"/>
      <c r="J85" s="491"/>
      <c r="K85" s="491"/>
      <c r="L85" s="491"/>
      <c r="M85" s="492"/>
      <c r="N85" s="2745"/>
      <c r="O85" s="2745"/>
      <c r="P85" s="2735"/>
      <c r="Q85" s="2730"/>
      <c r="R85" s="2716"/>
      <c r="S85" s="2716"/>
      <c r="T85" s="2716"/>
      <c r="U85" s="2716"/>
      <c r="V85" s="2716"/>
      <c r="W85" s="2716"/>
      <c r="X85" s="2716"/>
      <c r="Y85" s="2716"/>
      <c r="Z85" s="2716"/>
      <c r="AA85" s="2716"/>
      <c r="AB85" s="2716"/>
      <c r="AC85" s="2716"/>
    </row>
    <row r="86" spans="1:29" s="108" customFormat="1" ht="15.75" thickTop="1">
      <c r="A86" s="526"/>
      <c r="B86" s="485" t="s">
        <v>1802</v>
      </c>
      <c r="C86" s="501"/>
      <c r="D86" s="501"/>
      <c r="E86" s="501"/>
      <c r="F86" s="501"/>
      <c r="G86" s="501"/>
      <c r="H86" s="501"/>
      <c r="I86" s="501"/>
      <c r="J86" s="501"/>
      <c r="K86" s="501"/>
      <c r="L86" s="527"/>
      <c r="M86" s="528"/>
      <c r="N86" s="2743"/>
      <c r="O86" s="2743"/>
      <c r="P86" s="2735"/>
      <c r="Q86" s="2730"/>
      <c r="R86" s="2652"/>
      <c r="S86" s="2652"/>
      <c r="T86" s="2652"/>
      <c r="U86" s="2652"/>
      <c r="V86" s="2652"/>
      <c r="W86" s="2652"/>
      <c r="X86" s="2652"/>
      <c r="Y86" s="2652"/>
      <c r="Z86" s="2652"/>
      <c r="AA86" s="2652"/>
      <c r="AB86" s="2652"/>
      <c r="AC86" s="2652"/>
    </row>
    <row r="87" spans="1:29" s="108" customFormat="1" ht="15.75" thickBot="1">
      <c r="A87" s="526"/>
      <c r="B87" s="490"/>
      <c r="C87" s="529">
        <v>100</v>
      </c>
      <c r="D87" s="491">
        <f t="shared" ref="D87:M87" si="20">C87-$K25</f>
        <v>100</v>
      </c>
      <c r="E87" s="491">
        <f t="shared" si="20"/>
        <v>100</v>
      </c>
      <c r="F87" s="491">
        <f t="shared" si="20"/>
        <v>100</v>
      </c>
      <c r="G87" s="491">
        <f t="shared" si="20"/>
        <v>100</v>
      </c>
      <c r="H87" s="491">
        <f t="shared" si="20"/>
        <v>100</v>
      </c>
      <c r="I87" s="491">
        <f t="shared" si="20"/>
        <v>100</v>
      </c>
      <c r="J87" s="491">
        <f t="shared" si="20"/>
        <v>100</v>
      </c>
      <c r="K87" s="491">
        <f t="shared" si="20"/>
        <v>100</v>
      </c>
      <c r="L87" s="491">
        <f t="shared" si="20"/>
        <v>100</v>
      </c>
      <c r="M87" s="491">
        <f t="shared" si="20"/>
        <v>100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6"/>
      <c r="B88" s="485" t="str">
        <f>B26</f>
        <v>平面位置/可视性</v>
      </c>
      <c r="C88" s="501"/>
      <c r="D88" s="501"/>
      <c r="E88" s="501"/>
      <c r="F88" s="1921"/>
      <c r="G88" s="501"/>
      <c r="H88" s="501"/>
      <c r="I88" s="501"/>
      <c r="J88" s="501"/>
      <c r="K88" s="501"/>
      <c r="L88" s="501"/>
      <c r="M88" s="528"/>
      <c r="N88" s="2743"/>
      <c r="O88" s="2743"/>
      <c r="P88" s="2735"/>
      <c r="Q88" s="2730"/>
      <c r="R88" s="2652"/>
      <c r="S88" s="2652"/>
      <c r="T88" s="2652"/>
      <c r="U88" s="2652"/>
      <c r="V88" s="2652"/>
      <c r="W88" s="2652"/>
      <c r="X88" s="2652"/>
      <c r="Y88" s="2652"/>
      <c r="Z88" s="2652"/>
      <c r="AA88" s="2652"/>
      <c r="AB88" s="2652"/>
      <c r="AC88" s="2652"/>
    </row>
    <row r="89" spans="1:29" s="108" customFormat="1" ht="15.75" thickBot="1">
      <c r="A89" s="526"/>
      <c r="B89" s="490"/>
      <c r="C89" s="507"/>
      <c r="D89" s="483"/>
      <c r="E89" s="483"/>
      <c r="F89" s="483"/>
      <c r="G89" s="483"/>
      <c r="H89" s="483"/>
      <c r="I89" s="483"/>
      <c r="J89" s="483"/>
      <c r="K89" s="483"/>
      <c r="L89" s="483"/>
      <c r="M89" s="483"/>
      <c r="N89" s="2745"/>
      <c r="O89" s="2745"/>
      <c r="P89" s="2735"/>
      <c r="Q89" s="2730"/>
      <c r="R89" s="2652"/>
      <c r="S89" s="2652"/>
      <c r="T89" s="2652"/>
      <c r="U89" s="2652"/>
      <c r="V89" s="2652"/>
      <c r="W89" s="2652"/>
      <c r="X89" s="2652"/>
      <c r="Y89" s="2652"/>
      <c r="Z89" s="2652"/>
      <c r="AA89" s="2652"/>
      <c r="AB89" s="2652"/>
      <c r="AC89" s="2652"/>
    </row>
    <row r="90" spans="1:29" s="422" customFormat="1" ht="15.75" thickTop="1">
      <c r="A90" s="500"/>
      <c r="B90" s="485" t="str">
        <f>B27</f>
        <v>人流量</v>
      </c>
      <c r="C90" s="501"/>
      <c r="D90" s="501"/>
      <c r="E90" s="501"/>
      <c r="F90" s="501"/>
      <c r="G90" s="501"/>
      <c r="H90" s="502"/>
      <c r="I90" s="502"/>
      <c r="J90" s="502"/>
      <c r="K90" s="502"/>
      <c r="L90" s="503"/>
      <c r="M90" s="504"/>
      <c r="N90" s="2746"/>
      <c r="O90" s="2746"/>
      <c r="P90" s="2736"/>
      <c r="Q90" s="2737"/>
      <c r="R90" s="2738"/>
      <c r="S90" s="2738"/>
      <c r="T90" s="2738"/>
      <c r="U90" s="2738"/>
      <c r="V90" s="2738"/>
      <c r="W90" s="2738"/>
      <c r="X90" s="2738"/>
      <c r="Y90" s="2738"/>
      <c r="Z90" s="2738"/>
      <c r="AA90" s="2738"/>
      <c r="AB90" s="2738"/>
      <c r="AC90" s="2738"/>
    </row>
    <row r="91" spans="1:29" s="422" customFormat="1" ht="15.75" thickBot="1">
      <c r="A91" s="500"/>
      <c r="B91" s="490"/>
      <c r="C91" s="529">
        <v>100</v>
      </c>
      <c r="D91" s="491">
        <f>C91-$K27</f>
        <v>100</v>
      </c>
      <c r="E91" s="491">
        <f t="shared" ref="E91:M91" si="21">D91-$K27</f>
        <v>100</v>
      </c>
      <c r="F91" s="491">
        <f t="shared" si="21"/>
        <v>100</v>
      </c>
      <c r="G91" s="491">
        <f t="shared" si="21"/>
        <v>100</v>
      </c>
      <c r="H91" s="491">
        <f t="shared" si="21"/>
        <v>100</v>
      </c>
      <c r="I91" s="491">
        <f t="shared" si="21"/>
        <v>100</v>
      </c>
      <c r="J91" s="491">
        <f t="shared" si="21"/>
        <v>100</v>
      </c>
      <c r="K91" s="491">
        <f t="shared" si="21"/>
        <v>100</v>
      </c>
      <c r="L91" s="491">
        <f t="shared" si="21"/>
        <v>100</v>
      </c>
      <c r="M91" s="491">
        <f t="shared" si="21"/>
        <v>100</v>
      </c>
      <c r="N91" s="2746"/>
      <c r="O91" s="2746"/>
      <c r="P91" s="2736"/>
      <c r="Q91" s="2737"/>
      <c r="R91" s="2738"/>
      <c r="S91" s="2738"/>
      <c r="T91" s="2738"/>
      <c r="U91" s="2738"/>
      <c r="V91" s="2738"/>
      <c r="W91" s="2738"/>
      <c r="X91" s="2738"/>
      <c r="Y91" s="2738"/>
      <c r="Z91" s="2738"/>
      <c r="AA91" s="2738"/>
      <c r="AB91" s="2738"/>
      <c r="AC91" s="2738"/>
    </row>
    <row r="92" spans="1:29" ht="15.75" thickTop="1">
      <c r="A92" s="481"/>
      <c r="B92" s="485" t="str">
        <f>B28</f>
        <v>楼层</v>
      </c>
      <c r="C92" s="501"/>
      <c r="D92" s="501"/>
      <c r="E92" s="501"/>
      <c r="F92" s="501"/>
      <c r="G92" s="501"/>
      <c r="H92" s="501"/>
      <c r="I92" s="501"/>
      <c r="J92" s="501"/>
      <c r="K92" s="501"/>
      <c r="L92" s="527"/>
      <c r="M92" s="528"/>
      <c r="N92" s="2744"/>
      <c r="O92" s="2744"/>
      <c r="P92" s="2735"/>
      <c r="Q92" s="2730"/>
      <c r="R92" s="2716"/>
      <c r="S92" s="2716"/>
      <c r="T92" s="2716"/>
      <c r="U92" s="2716"/>
      <c r="V92" s="2716"/>
      <c r="W92" s="2716"/>
      <c r="X92" s="2716"/>
      <c r="Y92" s="2716"/>
      <c r="Z92" s="2716"/>
      <c r="AA92" s="2716"/>
      <c r="AB92" s="2716"/>
      <c r="AC92" s="2716"/>
    </row>
    <row r="93" spans="1:29" ht="15.75" thickBot="1">
      <c r="A93" s="481"/>
      <c r="B93" s="490"/>
      <c r="C93" s="483"/>
      <c r="D93" s="483"/>
      <c r="E93" s="483"/>
      <c r="F93" s="483"/>
      <c r="G93" s="483"/>
      <c r="H93" s="483"/>
      <c r="I93" s="483"/>
      <c r="J93" s="483"/>
      <c r="K93" s="483"/>
      <c r="L93" s="483"/>
      <c r="M93" s="484"/>
      <c r="N93" s="2745"/>
      <c r="O93" s="2745"/>
      <c r="P93" s="2735"/>
      <c r="Q93" s="2730"/>
      <c r="R93" s="2716"/>
      <c r="S93" s="2716"/>
      <c r="T93" s="2716"/>
      <c r="U93" s="2716"/>
      <c r="V93" s="2716"/>
      <c r="W93" s="2716"/>
      <c r="X93" s="2716"/>
      <c r="Y93" s="2716"/>
      <c r="Z93" s="2716"/>
      <c r="AA93" s="2716"/>
      <c r="AB93" s="2716"/>
      <c r="AC93" s="2716"/>
    </row>
    <row r="94" spans="1:29" ht="15.75" thickTop="1">
      <c r="A94" s="481"/>
      <c r="B94" s="485">
        <f>B29</f>
        <v>111</v>
      </c>
      <c r="C94" s="501"/>
      <c r="D94" s="501"/>
      <c r="E94" s="501"/>
      <c r="F94" s="501"/>
      <c r="G94" s="530"/>
      <c r="H94" s="530"/>
      <c r="I94" s="530"/>
      <c r="J94" s="530"/>
      <c r="K94" s="531"/>
      <c r="L94" s="532"/>
      <c r="M94" s="533"/>
      <c r="N94" s="2744"/>
      <c r="O94" s="2744"/>
      <c r="P94" s="2735"/>
      <c r="Q94" s="2730"/>
      <c r="R94" s="2716"/>
      <c r="S94" s="2716"/>
      <c r="T94" s="2716"/>
      <c r="U94" s="2716"/>
      <c r="V94" s="2716"/>
      <c r="W94" s="2716"/>
      <c r="X94" s="2716"/>
      <c r="Y94" s="2716"/>
      <c r="Z94" s="2716"/>
      <c r="AA94" s="2716"/>
      <c r="AB94" s="2716"/>
      <c r="AC94" s="2716"/>
    </row>
    <row r="95" spans="1:29" ht="15.75" thickBot="1">
      <c r="A95" s="481"/>
      <c r="B95" s="490"/>
      <c r="C95" s="507"/>
      <c r="D95" s="483"/>
      <c r="E95" s="483"/>
      <c r="F95" s="483"/>
      <c r="G95" s="483"/>
      <c r="H95" s="483"/>
      <c r="I95" s="483"/>
      <c r="J95" s="483"/>
      <c r="K95" s="483"/>
      <c r="L95" s="483"/>
      <c r="M95" s="484"/>
      <c r="N95" s="2745"/>
      <c r="O95" s="2745"/>
      <c r="P95" s="2735"/>
      <c r="Q95" s="2730"/>
      <c r="R95" s="2716"/>
      <c r="S95" s="2716"/>
      <c r="T95" s="2716"/>
      <c r="U95" s="2716"/>
      <c r="V95" s="2716"/>
      <c r="W95" s="2716"/>
      <c r="X95" s="2716"/>
      <c r="Y95" s="2716"/>
      <c r="Z95" s="2716"/>
      <c r="AA95" s="2716"/>
      <c r="AB95" s="2716"/>
      <c r="AC95" s="2716"/>
    </row>
    <row r="96" spans="1:29" ht="15.75" thickTop="1">
      <c r="A96" s="481"/>
      <c r="B96" s="485">
        <f>B30</f>
        <v>111</v>
      </c>
      <c r="C96" s="501"/>
      <c r="D96" s="501"/>
      <c r="E96" s="501"/>
      <c r="F96" s="501"/>
      <c r="G96" s="530"/>
      <c r="H96" s="530"/>
      <c r="I96" s="530"/>
      <c r="J96" s="530"/>
      <c r="K96" s="531"/>
      <c r="L96" s="532"/>
      <c r="M96" s="533"/>
      <c r="N96" s="2744"/>
      <c r="O96" s="2744"/>
      <c r="P96" s="2735"/>
      <c r="Q96" s="2730"/>
      <c r="R96" s="2716"/>
      <c r="S96" s="2716"/>
      <c r="T96" s="2716"/>
      <c r="U96" s="2716"/>
      <c r="V96" s="2716"/>
      <c r="W96" s="2716"/>
      <c r="X96" s="2716"/>
      <c r="Y96" s="2716"/>
      <c r="Z96" s="2716"/>
      <c r="AA96" s="2716"/>
      <c r="AB96" s="2716"/>
      <c r="AC96" s="2716"/>
    </row>
    <row r="97" spans="1:29" ht="15.75" thickBot="1">
      <c r="A97" s="481"/>
      <c r="B97" s="490"/>
      <c r="C97" s="507"/>
      <c r="D97" s="483"/>
      <c r="E97" s="483"/>
      <c r="F97" s="483"/>
      <c r="G97" s="483"/>
      <c r="H97" s="483"/>
      <c r="I97" s="483"/>
      <c r="J97" s="483"/>
      <c r="K97" s="483"/>
      <c r="L97" s="483"/>
      <c r="M97" s="484"/>
      <c r="N97" s="2745"/>
      <c r="O97" s="2745"/>
      <c r="P97" s="2735"/>
      <c r="Q97" s="2730"/>
      <c r="R97" s="2716"/>
      <c r="S97" s="2716"/>
      <c r="T97" s="2716"/>
      <c r="U97" s="2716"/>
      <c r="V97" s="2716"/>
      <c r="W97" s="2716"/>
      <c r="X97" s="2716"/>
      <c r="Y97" s="2716"/>
      <c r="Z97" s="2716"/>
      <c r="AA97" s="2716"/>
      <c r="AB97" s="2716"/>
      <c r="AC97" s="2716"/>
    </row>
    <row r="98" spans="1:29" ht="15.75" thickTop="1">
      <c r="A98" s="481"/>
      <c r="B98" s="493">
        <f>B31</f>
        <v>111</v>
      </c>
      <c r="C98" s="501"/>
      <c r="D98" s="501"/>
      <c r="E98" s="501"/>
      <c r="F98" s="501"/>
      <c r="G98" s="534"/>
      <c r="H98" s="534"/>
      <c r="I98" s="534"/>
      <c r="J98" s="534"/>
      <c r="K98" s="535"/>
      <c r="L98" s="536"/>
      <c r="M98" s="537"/>
      <c r="N98" s="2744"/>
      <c r="O98" s="2744"/>
      <c r="P98" s="2735"/>
      <c r="Q98" s="2730"/>
      <c r="R98" s="2716"/>
      <c r="S98" s="2716"/>
      <c r="T98" s="2716"/>
      <c r="U98" s="2716"/>
      <c r="V98" s="2716"/>
      <c r="W98" s="2716"/>
      <c r="X98" s="2716"/>
      <c r="Y98" s="2716"/>
      <c r="Z98" s="2716"/>
      <c r="AA98" s="2716"/>
      <c r="AB98" s="2716"/>
      <c r="AC98" s="2716"/>
    </row>
    <row r="99" spans="1:29" ht="15.75" thickBot="1">
      <c r="A99" s="1922"/>
      <c r="B99" s="516"/>
      <c r="C99" s="517"/>
      <c r="D99" s="517"/>
      <c r="E99" s="517"/>
      <c r="F99" s="517"/>
      <c r="G99" s="538"/>
      <c r="H99" s="538"/>
      <c r="I99" s="538"/>
      <c r="J99" s="538"/>
      <c r="K99" s="538"/>
      <c r="L99" s="538"/>
      <c r="M99" s="539"/>
      <c r="N99" s="2745"/>
      <c r="O99" s="2745"/>
      <c r="P99" s="2735"/>
      <c r="Q99" s="2730"/>
      <c r="R99" s="2716"/>
      <c r="S99" s="2716"/>
      <c r="T99" s="2716"/>
      <c r="U99" s="2716"/>
      <c r="V99" s="2716"/>
      <c r="W99" s="2716"/>
      <c r="X99" s="2716"/>
      <c r="Y99" s="2716"/>
      <c r="Z99" s="2716"/>
      <c r="AA99" s="2716"/>
      <c r="AB99" s="2716"/>
      <c r="AC99" s="2716"/>
    </row>
    <row r="100" spans="1:29">
      <c r="A100" s="474" t="s">
        <v>1692</v>
      </c>
      <c r="B100" s="475" t="s">
        <v>1803</v>
      </c>
      <c r="C100" s="477"/>
      <c r="D100" s="477"/>
      <c r="E100" s="477"/>
      <c r="F100" s="477"/>
      <c r="G100" s="477"/>
      <c r="H100" s="477"/>
      <c r="I100" s="477"/>
      <c r="J100" s="477"/>
      <c r="K100" s="478"/>
      <c r="L100" s="479"/>
      <c r="M100" s="480"/>
      <c r="N100" s="2744"/>
      <c r="O100" s="2744"/>
      <c r="P100" s="2735"/>
      <c r="Q100" s="2730"/>
      <c r="R100" s="2716"/>
      <c r="S100" s="2716"/>
      <c r="T100" s="2716"/>
      <c r="U100" s="2716"/>
      <c r="V100" s="2716"/>
      <c r="W100" s="2716"/>
      <c r="X100" s="2716"/>
      <c r="Y100" s="2716"/>
      <c r="Z100" s="2716"/>
      <c r="AA100" s="2716"/>
      <c r="AB100" s="2716"/>
      <c r="AC100" s="2716"/>
    </row>
    <row r="101" spans="1:29" ht="15.75" thickBot="1">
      <c r="A101" s="481"/>
      <c r="B101" s="490"/>
      <c r="C101" s="491">
        <v>100</v>
      </c>
      <c r="D101" s="491">
        <f t="shared" ref="D101:M101" si="22">C101-$K32</f>
        <v>100</v>
      </c>
      <c r="E101" s="491">
        <f t="shared" si="22"/>
        <v>100</v>
      </c>
      <c r="F101" s="491">
        <f t="shared" si="22"/>
        <v>100</v>
      </c>
      <c r="G101" s="491">
        <f t="shared" si="22"/>
        <v>100</v>
      </c>
      <c r="H101" s="491">
        <f t="shared" si="22"/>
        <v>100</v>
      </c>
      <c r="I101" s="491">
        <f t="shared" si="22"/>
        <v>100</v>
      </c>
      <c r="J101" s="491">
        <f t="shared" si="22"/>
        <v>100</v>
      </c>
      <c r="K101" s="491">
        <f t="shared" si="22"/>
        <v>100</v>
      </c>
      <c r="L101" s="491">
        <f t="shared" si="22"/>
        <v>100</v>
      </c>
      <c r="M101" s="492">
        <f t="shared" si="22"/>
        <v>100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1"/>
      <c r="B102" s="485" t="s">
        <v>1735</v>
      </c>
      <c r="C102" s="525" t="str">
        <f>C103&amp;"(含)"&amp;"-"&amp;D103</f>
        <v>(含)-</v>
      </c>
      <c r="D102" s="525" t="str">
        <f t="shared" ref="D102:L102" si="23">D103&amp;"(含)"&amp;"-"&amp;E103</f>
        <v>(含)-</v>
      </c>
      <c r="E102" s="525" t="str">
        <f t="shared" si="23"/>
        <v>(含)-</v>
      </c>
      <c r="F102" s="525" t="str">
        <f t="shared" si="23"/>
        <v>(含)-</v>
      </c>
      <c r="G102" s="525" t="str">
        <f t="shared" si="23"/>
        <v>(含)-</v>
      </c>
      <c r="H102" s="525" t="str">
        <f t="shared" si="23"/>
        <v>(含)-</v>
      </c>
      <c r="I102" s="525" t="str">
        <f t="shared" si="23"/>
        <v>(含)-</v>
      </c>
      <c r="J102" s="525" t="str">
        <f t="shared" si="23"/>
        <v>(含)-</v>
      </c>
      <c r="K102" s="525" t="str">
        <f t="shared" si="23"/>
        <v>(含)-</v>
      </c>
      <c r="L102" s="525" t="str">
        <f t="shared" si="23"/>
        <v>(含)-</v>
      </c>
      <c r="M102" s="568"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0"/>
      <c r="B103" s="541"/>
      <c r="C103" s="542"/>
      <c r="D103" s="542"/>
      <c r="E103" s="542"/>
      <c r="F103" s="542"/>
      <c r="G103" s="542"/>
      <c r="H103" s="542"/>
      <c r="I103" s="542"/>
      <c r="J103" s="543"/>
      <c r="K103" s="543"/>
      <c r="L103" s="544"/>
      <c r="M103" s="545"/>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0"/>
      <c r="B104" s="490"/>
      <c r="C104" s="507"/>
      <c r="D104" s="483"/>
      <c r="E104" s="483"/>
      <c r="F104" s="483"/>
      <c r="G104" s="483"/>
      <c r="H104" s="483"/>
      <c r="I104" s="483"/>
      <c r="J104" s="483"/>
      <c r="K104" s="483"/>
      <c r="L104" s="483"/>
      <c r="M104" s="484"/>
      <c r="N104" s="2745"/>
      <c r="O104" s="2745"/>
      <c r="P104" s="2736"/>
      <c r="Q104" s="2737"/>
      <c r="R104" s="2738"/>
      <c r="S104" s="2738"/>
      <c r="T104" s="2738"/>
      <c r="U104" s="2738"/>
      <c r="V104" s="2738"/>
      <c r="W104" s="2738"/>
      <c r="X104" s="2738"/>
      <c r="Y104" s="2738"/>
      <c r="Z104" s="2738"/>
      <c r="AA104" s="2738"/>
      <c r="AB104" s="2738"/>
      <c r="AC104" s="2738"/>
    </row>
    <row r="105" spans="1:29" ht="15" thickTop="1">
      <c r="A105" s="546"/>
      <c r="B105" s="485" t="s">
        <v>1736</v>
      </c>
      <c r="C105" s="501"/>
      <c r="D105" s="501"/>
      <c r="E105" s="530"/>
      <c r="F105" s="530"/>
      <c r="G105" s="530"/>
      <c r="H105" s="530"/>
      <c r="I105" s="530"/>
      <c r="J105" s="530"/>
      <c r="K105" s="531"/>
      <c r="L105" s="532"/>
      <c r="M105" s="533"/>
      <c r="N105" s="2744"/>
      <c r="O105" s="2744"/>
      <c r="P105" s="2735"/>
      <c r="Q105" s="2730"/>
      <c r="R105" s="2716"/>
      <c r="S105" s="2716"/>
      <c r="T105" s="2716"/>
      <c r="U105" s="2716"/>
      <c r="V105" s="2716"/>
      <c r="W105" s="2716"/>
      <c r="X105" s="2716"/>
      <c r="Y105" s="2716"/>
      <c r="Z105" s="2716"/>
      <c r="AA105" s="2716"/>
      <c r="AB105" s="2716"/>
      <c r="AC105" s="2716"/>
    </row>
    <row r="106" spans="1:29" ht="15.75" thickBot="1">
      <c r="A106" s="481"/>
      <c r="B106" s="490"/>
      <c r="C106" s="491">
        <v>100</v>
      </c>
      <c r="D106" s="491">
        <f t="shared" ref="D106:M106" si="24">C106-$K34</f>
        <v>100</v>
      </c>
      <c r="E106" s="491">
        <f t="shared" si="24"/>
        <v>100</v>
      </c>
      <c r="F106" s="491">
        <f t="shared" si="24"/>
        <v>100</v>
      </c>
      <c r="G106" s="491">
        <f t="shared" si="24"/>
        <v>100</v>
      </c>
      <c r="H106" s="491">
        <f t="shared" si="24"/>
        <v>100</v>
      </c>
      <c r="I106" s="491">
        <f t="shared" si="24"/>
        <v>100</v>
      </c>
      <c r="J106" s="491">
        <f t="shared" si="24"/>
        <v>100</v>
      </c>
      <c r="K106" s="491">
        <f t="shared" si="24"/>
        <v>100</v>
      </c>
      <c r="L106" s="491">
        <f t="shared" si="24"/>
        <v>100</v>
      </c>
      <c r="M106" s="492">
        <f t="shared" si="24"/>
        <v>100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6"/>
      <c r="B107" s="485" t="s">
        <v>1738</v>
      </c>
      <c r="C107" s="501"/>
      <c r="D107" s="501"/>
      <c r="E107" s="501"/>
      <c r="F107" s="530"/>
      <c r="G107" s="530"/>
      <c r="H107" s="530"/>
      <c r="I107" s="530"/>
      <c r="J107" s="530"/>
      <c r="K107" s="531"/>
      <c r="L107" s="532"/>
      <c r="M107" s="533"/>
      <c r="N107" s="2744"/>
      <c r="O107" s="2744"/>
      <c r="P107" s="2735"/>
      <c r="Q107" s="2730"/>
      <c r="R107" s="2716"/>
      <c r="S107" s="2716"/>
      <c r="T107" s="2716"/>
      <c r="U107" s="2716"/>
      <c r="V107" s="2716"/>
      <c r="W107" s="2716"/>
      <c r="X107" s="2716"/>
      <c r="Y107" s="2716"/>
      <c r="Z107" s="2716"/>
      <c r="AA107" s="2716"/>
      <c r="AB107" s="2716"/>
      <c r="AC107" s="2716"/>
    </row>
    <row r="108" spans="1:29" ht="15.75" thickBot="1">
      <c r="A108" s="481"/>
      <c r="B108" s="490"/>
      <c r="C108" s="491">
        <v>100</v>
      </c>
      <c r="D108" s="491">
        <f t="shared" ref="D108:M108" si="25">C108-$K35</f>
        <v>100</v>
      </c>
      <c r="E108" s="491">
        <f t="shared" si="25"/>
        <v>100</v>
      </c>
      <c r="F108" s="491">
        <f t="shared" si="25"/>
        <v>100</v>
      </c>
      <c r="G108" s="491">
        <f t="shared" si="25"/>
        <v>100</v>
      </c>
      <c r="H108" s="491">
        <f t="shared" si="25"/>
        <v>100</v>
      </c>
      <c r="I108" s="491">
        <f t="shared" si="25"/>
        <v>100</v>
      </c>
      <c r="J108" s="491">
        <f t="shared" si="25"/>
        <v>100</v>
      </c>
      <c r="K108" s="491">
        <f t="shared" si="25"/>
        <v>100</v>
      </c>
      <c r="L108" s="491">
        <f t="shared" si="25"/>
        <v>100</v>
      </c>
      <c r="M108" s="492">
        <f t="shared" si="25"/>
        <v>100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6"/>
      <c r="B109" s="485" t="s">
        <v>1188</v>
      </c>
      <c r="C109" s="525" t="str">
        <f>C110&amp;"(含)"&amp;"-"&amp;D110</f>
        <v>0.5(含)-0.6</v>
      </c>
      <c r="D109" s="525" t="str">
        <f>D110&amp;"(含)"&amp;"-"&amp;E110</f>
        <v>0.6(含)-0.7</v>
      </c>
      <c r="E109" s="525" t="str">
        <f>E110&amp;"(含)"&amp;"-"&amp;F110</f>
        <v>0.7(含)-0.8</v>
      </c>
      <c r="F109" s="525" t="str">
        <f>F110&amp;"(含)"&amp;"-"&amp;G110</f>
        <v>0.8(含)-0.9</v>
      </c>
      <c r="G109" s="525" t="str">
        <f>G110&amp;"(含)"&amp;"-"&amp;ROUND(H110,0)&amp;"(含)"</f>
        <v>0.9(含)-1(含)</v>
      </c>
      <c r="H109" s="525"/>
      <c r="I109" s="530"/>
      <c r="J109" s="530"/>
      <c r="K109" s="531"/>
      <c r="L109" s="532"/>
      <c r="M109" s="533"/>
      <c r="N109" s="2744"/>
      <c r="O109" s="2744"/>
      <c r="P109" s="2735"/>
      <c r="Q109" s="2730"/>
      <c r="R109" s="2716"/>
      <c r="S109" s="2716"/>
      <c r="T109" s="2716"/>
      <c r="U109" s="2716"/>
      <c r="V109" s="2716"/>
      <c r="W109" s="2716"/>
      <c r="X109" s="2716"/>
      <c r="Y109" s="2716"/>
      <c r="Z109" s="2716"/>
      <c r="AA109" s="2716"/>
      <c r="AB109" s="2716"/>
      <c r="AC109" s="2716"/>
    </row>
    <row r="110" spans="1:29">
      <c r="A110" s="546"/>
      <c r="B110" s="493"/>
      <c r="C110" s="550">
        <v>0.5</v>
      </c>
      <c r="D110" s="550">
        <v>0.6</v>
      </c>
      <c r="E110" s="550">
        <v>0.7</v>
      </c>
      <c r="F110" s="550">
        <v>0.8</v>
      </c>
      <c r="G110" s="550">
        <v>0.9</v>
      </c>
      <c r="H110" s="550">
        <v>1.0001</v>
      </c>
      <c r="I110" s="569"/>
      <c r="J110" s="569"/>
      <c r="K110" s="570"/>
      <c r="L110" s="571"/>
      <c r="M110" s="572"/>
      <c r="N110" s="2744"/>
      <c r="O110" s="2744"/>
      <c r="P110" s="2735"/>
      <c r="Q110" s="2730"/>
      <c r="R110" s="2716"/>
      <c r="S110" s="2716"/>
      <c r="T110" s="2716"/>
      <c r="U110" s="2716"/>
      <c r="V110" s="2716"/>
      <c r="W110" s="2716"/>
      <c r="X110" s="2716"/>
      <c r="Y110" s="2716"/>
      <c r="Z110" s="2716"/>
      <c r="AA110" s="2716"/>
      <c r="AB110" s="2716"/>
      <c r="AC110" s="2716"/>
    </row>
    <row r="111" spans="1:29" ht="15.75" thickBot="1">
      <c r="A111" s="481"/>
      <c r="B111" s="490"/>
      <c r="C111" s="529">
        <v>100</v>
      </c>
      <c r="D111" s="491">
        <f>C111+$K36</f>
        <v>100</v>
      </c>
      <c r="E111" s="491">
        <f t="shared" ref="E111:M111" si="26">D111+$K36</f>
        <v>100</v>
      </c>
      <c r="F111" s="491">
        <f t="shared" si="26"/>
        <v>100</v>
      </c>
      <c r="G111" s="491">
        <f t="shared" si="26"/>
        <v>100</v>
      </c>
      <c r="H111" s="491">
        <f t="shared" si="26"/>
        <v>100</v>
      </c>
      <c r="I111" s="491">
        <f t="shared" si="26"/>
        <v>100</v>
      </c>
      <c r="J111" s="491">
        <f t="shared" si="26"/>
        <v>100</v>
      </c>
      <c r="K111" s="491">
        <f t="shared" si="26"/>
        <v>100</v>
      </c>
      <c r="L111" s="491">
        <f t="shared" si="26"/>
        <v>100</v>
      </c>
      <c r="M111" s="491">
        <f t="shared" si="26"/>
        <v>100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0"/>
      <c r="B112" s="485" t="s">
        <v>1740</v>
      </c>
      <c r="C112" s="501"/>
      <c r="D112" s="501"/>
      <c r="E112" s="501"/>
      <c r="F112" s="501"/>
      <c r="G112" s="501"/>
      <c r="H112" s="530"/>
      <c r="I112" s="530"/>
      <c r="J112" s="530"/>
      <c r="K112" s="531"/>
      <c r="L112" s="532"/>
      <c r="M112" s="533"/>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0"/>
      <c r="B113" s="490"/>
      <c r="C113" s="491">
        <v>100</v>
      </c>
      <c r="D113" s="491">
        <f>C113-$K37</f>
        <v>100</v>
      </c>
      <c r="E113" s="491">
        <f t="shared" ref="E113:M113" si="27">D113-$K37</f>
        <v>100</v>
      </c>
      <c r="F113" s="491">
        <f t="shared" si="27"/>
        <v>100</v>
      </c>
      <c r="G113" s="491">
        <f t="shared" si="27"/>
        <v>100</v>
      </c>
      <c r="H113" s="491">
        <f t="shared" si="27"/>
        <v>100</v>
      </c>
      <c r="I113" s="491">
        <f t="shared" si="27"/>
        <v>100</v>
      </c>
      <c r="J113" s="491">
        <f t="shared" si="27"/>
        <v>100</v>
      </c>
      <c r="K113" s="491">
        <f t="shared" si="27"/>
        <v>100</v>
      </c>
      <c r="L113" s="491">
        <f t="shared" si="27"/>
        <v>100</v>
      </c>
      <c r="M113" s="491">
        <f t="shared" si="27"/>
        <v>100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6"/>
      <c r="B114" s="485" t="s">
        <v>1804</v>
      </c>
      <c r="C114" s="501"/>
      <c r="D114" s="501"/>
      <c r="E114" s="530"/>
      <c r="F114" s="530"/>
      <c r="G114" s="530"/>
      <c r="H114" s="530"/>
      <c r="I114" s="530"/>
      <c r="J114" s="530"/>
      <c r="K114" s="531"/>
      <c r="L114" s="532"/>
      <c r="M114" s="533"/>
      <c r="N114" s="2744"/>
      <c r="O114" s="2744"/>
      <c r="P114" s="2735"/>
      <c r="Q114" s="2730"/>
      <c r="R114" s="2716"/>
      <c r="S114" s="2716"/>
      <c r="T114" s="2716"/>
      <c r="U114" s="2716"/>
      <c r="V114" s="2716"/>
      <c r="W114" s="2716"/>
      <c r="X114" s="2716"/>
      <c r="Y114" s="2716"/>
      <c r="Z114" s="2716"/>
      <c r="AA114" s="2716"/>
      <c r="AB114" s="2716"/>
      <c r="AC114" s="2716"/>
    </row>
    <row r="115" spans="1:29" ht="15.75" thickBot="1">
      <c r="A115" s="481"/>
      <c r="B115" s="490"/>
      <c r="C115" s="491">
        <v>100</v>
      </c>
      <c r="D115" s="491">
        <f t="shared" ref="D115:M115" si="28">C115-$K38</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6"/>
      <c r="B116" s="485" t="s">
        <v>1805</v>
      </c>
      <c r="C116" s="501"/>
      <c r="D116" s="501"/>
      <c r="E116" s="501"/>
      <c r="F116" s="501"/>
      <c r="G116" s="501"/>
      <c r="H116" s="530"/>
      <c r="I116" s="530"/>
      <c r="J116" s="530"/>
      <c r="K116" s="531"/>
      <c r="L116" s="532"/>
      <c r="M116" s="533"/>
      <c r="N116" s="2744"/>
      <c r="O116" s="2744"/>
      <c r="P116" s="2735"/>
      <c r="Q116" s="2730"/>
      <c r="R116" s="2716"/>
      <c r="S116" s="2716"/>
      <c r="T116" s="2716"/>
      <c r="U116" s="2716"/>
      <c r="V116" s="2716"/>
      <c r="W116" s="2716"/>
      <c r="X116" s="2716"/>
      <c r="Y116" s="2716"/>
      <c r="Z116" s="2716"/>
      <c r="AA116" s="2716"/>
      <c r="AB116" s="2716"/>
      <c r="AC116" s="2716"/>
    </row>
    <row r="117" spans="1:29" ht="15.75" thickBot="1">
      <c r="A117" s="481"/>
      <c r="B117" s="490"/>
      <c r="C117" s="491">
        <v>100</v>
      </c>
      <c r="D117" s="491">
        <f>C117-$K39</f>
        <v>100</v>
      </c>
      <c r="E117" s="491">
        <f>D117-$K39</f>
        <v>100</v>
      </c>
      <c r="F117" s="491">
        <f>E117-$K39</f>
        <v>100</v>
      </c>
      <c r="G117" s="491">
        <f>F117-$K39</f>
        <v>100</v>
      </c>
      <c r="H117" s="491"/>
      <c r="I117" s="491"/>
      <c r="J117" s="491"/>
      <c r="K117" s="491"/>
      <c r="L117" s="491"/>
      <c r="M117" s="492"/>
      <c r="N117" s="2745"/>
      <c r="O117" s="2745"/>
      <c r="P117" s="2735"/>
      <c r="Q117" s="2730"/>
      <c r="R117" s="2716"/>
      <c r="S117" s="2716"/>
      <c r="T117" s="2716"/>
      <c r="U117" s="2716"/>
      <c r="V117" s="2716"/>
      <c r="W117" s="2716"/>
      <c r="X117" s="2716"/>
      <c r="Y117" s="2716"/>
      <c r="Z117" s="2716"/>
      <c r="AA117" s="2716"/>
      <c r="AB117" s="2716"/>
      <c r="AC117" s="2716"/>
    </row>
    <row r="118" spans="1:29" ht="15" thickTop="1">
      <c r="A118" s="546"/>
      <c r="B118" s="485" t="s">
        <v>1806</v>
      </c>
      <c r="C118" s="573"/>
      <c r="D118" s="573"/>
      <c r="E118" s="573"/>
      <c r="F118" s="573"/>
      <c r="G118" s="573"/>
      <c r="H118" s="502"/>
      <c r="I118" s="502"/>
      <c r="J118" s="502"/>
      <c r="K118" s="502"/>
      <c r="L118" s="503"/>
      <c r="M118" s="504"/>
      <c r="N118" s="2744"/>
      <c r="O118" s="2744"/>
      <c r="P118" s="2735"/>
      <c r="Q118" s="2730"/>
      <c r="R118" s="2716"/>
      <c r="S118" s="2716"/>
      <c r="T118" s="2716"/>
      <c r="U118" s="2716"/>
      <c r="V118" s="2716"/>
      <c r="W118" s="2716"/>
      <c r="X118" s="2716"/>
      <c r="Y118" s="2716"/>
      <c r="Z118" s="2716"/>
      <c r="AA118" s="2716"/>
      <c r="AB118" s="2716"/>
      <c r="AC118" s="2716"/>
    </row>
    <row r="119" spans="1:29" ht="15.75" thickBot="1">
      <c r="A119" s="481"/>
      <c r="B119" s="490"/>
      <c r="C119" s="507"/>
      <c r="D119" s="483"/>
      <c r="E119" s="483"/>
      <c r="F119" s="483"/>
      <c r="G119" s="483"/>
      <c r="H119" s="483"/>
      <c r="I119" s="483"/>
      <c r="J119" s="483"/>
      <c r="K119" s="483"/>
      <c r="L119" s="483"/>
      <c r="M119" s="484"/>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0"/>
      <c r="B120" s="485" t="s">
        <v>1807</v>
      </c>
      <c r="C120" s="530"/>
      <c r="D120" s="530"/>
      <c r="E120" s="530"/>
      <c r="F120" s="530"/>
      <c r="G120" s="502"/>
      <c r="H120" s="502"/>
      <c r="I120" s="502"/>
      <c r="J120" s="502"/>
      <c r="K120" s="502"/>
      <c r="L120" s="503"/>
      <c r="M120" s="504"/>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0"/>
      <c r="B121" s="482"/>
      <c r="C121" s="529">
        <v>100</v>
      </c>
      <c r="D121" s="491">
        <f>C121-$K41</f>
        <v>100</v>
      </c>
      <c r="E121" s="491">
        <f t="shared" ref="E121:M121" si="29">D121-$K41</f>
        <v>100</v>
      </c>
      <c r="F121" s="491">
        <f t="shared" si="29"/>
        <v>100</v>
      </c>
      <c r="G121" s="491">
        <f t="shared" si="29"/>
        <v>100</v>
      </c>
      <c r="H121" s="491">
        <f t="shared" si="29"/>
        <v>100</v>
      </c>
      <c r="I121" s="491">
        <f t="shared" si="29"/>
        <v>100</v>
      </c>
      <c r="J121" s="491">
        <f t="shared" si="29"/>
        <v>100</v>
      </c>
      <c r="K121" s="491">
        <f t="shared" si="29"/>
        <v>100</v>
      </c>
      <c r="L121" s="491">
        <f t="shared" si="29"/>
        <v>100</v>
      </c>
      <c r="M121" s="492">
        <f t="shared" si="29"/>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6"/>
      <c r="B122" s="485" t="s">
        <v>1742</v>
      </c>
      <c r="C122" s="501"/>
      <c r="D122" s="501"/>
      <c r="E122" s="501"/>
      <c r="F122" s="530"/>
      <c r="G122" s="530"/>
      <c r="H122" s="530"/>
      <c r="I122" s="530"/>
      <c r="J122" s="530"/>
      <c r="K122" s="531"/>
      <c r="L122" s="532"/>
      <c r="M122" s="533"/>
      <c r="N122" s="2744"/>
      <c r="O122" s="2744"/>
      <c r="P122" s="2735"/>
      <c r="Q122" s="2730"/>
      <c r="R122" s="2716"/>
      <c r="S122" s="2716"/>
      <c r="T122" s="2716"/>
      <c r="U122" s="2716"/>
      <c r="V122" s="2716"/>
      <c r="W122" s="2716"/>
      <c r="X122" s="2716"/>
      <c r="Y122" s="2716"/>
      <c r="Z122" s="2716"/>
      <c r="AA122" s="2716"/>
      <c r="AB122" s="2716"/>
      <c r="AC122" s="2716"/>
    </row>
    <row r="123" spans="1:29" ht="15.75" thickBot="1">
      <c r="A123" s="481"/>
      <c r="B123" s="490"/>
      <c r="C123" s="491">
        <v>100</v>
      </c>
      <c r="D123" s="491">
        <f t="shared" ref="D123:M123" si="30">C123-$K42</f>
        <v>100</v>
      </c>
      <c r="E123" s="491">
        <f t="shared" si="30"/>
        <v>100</v>
      </c>
      <c r="F123" s="491">
        <f t="shared" si="30"/>
        <v>100</v>
      </c>
      <c r="G123" s="491">
        <f t="shared" si="30"/>
        <v>100</v>
      </c>
      <c r="H123" s="491">
        <f t="shared" si="30"/>
        <v>100</v>
      </c>
      <c r="I123" s="491">
        <f t="shared" si="30"/>
        <v>100</v>
      </c>
      <c r="J123" s="491">
        <f t="shared" si="30"/>
        <v>100</v>
      </c>
      <c r="K123" s="491">
        <f t="shared" si="30"/>
        <v>100</v>
      </c>
      <c r="L123" s="491">
        <f t="shared" si="30"/>
        <v>100</v>
      </c>
      <c r="M123" s="492">
        <f t="shared" si="30"/>
        <v>100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6"/>
      <c r="B124" s="485" t="s">
        <v>1743</v>
      </c>
      <c r="C124" s="525" t="s">
        <v>1719</v>
      </c>
      <c r="D124" s="525" t="s">
        <v>1720</v>
      </c>
      <c r="E124" s="525" t="s">
        <v>1721</v>
      </c>
      <c r="F124" s="525" t="s">
        <v>1722</v>
      </c>
      <c r="G124" s="525" t="s">
        <v>1723</v>
      </c>
      <c r="H124" s="486"/>
      <c r="I124" s="486"/>
      <c r="J124" s="486"/>
      <c r="K124" s="487"/>
      <c r="L124" s="488"/>
      <c r="M124" s="489"/>
      <c r="N124" s="2744"/>
      <c r="O124" s="2744"/>
      <c r="P124" s="2736"/>
      <c r="Q124" s="2730"/>
      <c r="R124" s="2716"/>
      <c r="S124" s="2716"/>
      <c r="T124" s="2716"/>
      <c r="U124" s="2716"/>
      <c r="V124" s="2716"/>
      <c r="W124" s="2716"/>
      <c r="X124" s="2716"/>
      <c r="Y124" s="2716"/>
      <c r="Z124" s="2716"/>
      <c r="AA124" s="2716"/>
      <c r="AB124" s="2716"/>
      <c r="AC124" s="2716"/>
    </row>
    <row r="125" spans="1:29" ht="15.75" thickBot="1">
      <c r="A125" s="481"/>
      <c r="B125" s="490"/>
      <c r="C125" s="491">
        <v>100</v>
      </c>
      <c r="D125" s="491">
        <f>C125-$K43</f>
        <v>100</v>
      </c>
      <c r="E125" s="491">
        <f>D125-$K43</f>
        <v>100</v>
      </c>
      <c r="F125" s="491">
        <f>E125-$K43</f>
        <v>100</v>
      </c>
      <c r="G125" s="491">
        <f>F125-$K43</f>
        <v>100</v>
      </c>
      <c r="H125" s="491"/>
      <c r="I125" s="491"/>
      <c r="J125" s="491"/>
      <c r="K125" s="491"/>
      <c r="L125" s="491"/>
      <c r="M125" s="492"/>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0"/>
      <c r="B126" s="485">
        <f>B44</f>
        <v>111</v>
      </c>
      <c r="C126" s="501"/>
      <c r="D126" s="501"/>
      <c r="E126" s="501"/>
      <c r="F126" s="501"/>
      <c r="G126" s="501"/>
      <c r="H126" s="502"/>
      <c r="I126" s="502"/>
      <c r="J126" s="502"/>
      <c r="K126" s="502"/>
      <c r="L126" s="503"/>
      <c r="M126" s="504"/>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0"/>
      <c r="B127" s="490"/>
      <c r="C127" s="507"/>
      <c r="D127" s="483"/>
      <c r="E127" s="483"/>
      <c r="F127" s="483"/>
      <c r="G127" s="507"/>
      <c r="H127" s="509"/>
      <c r="I127" s="509"/>
      <c r="J127" s="509"/>
      <c r="K127" s="509"/>
      <c r="L127" s="509"/>
      <c r="M127" s="510"/>
      <c r="N127" s="2746"/>
      <c r="O127" s="2746"/>
      <c r="P127" s="2736"/>
      <c r="Q127" s="2737"/>
      <c r="R127" s="2738"/>
      <c r="S127" s="2738"/>
      <c r="T127" s="2738"/>
      <c r="U127" s="2738"/>
      <c r="V127" s="2738"/>
      <c r="W127" s="2738"/>
      <c r="X127" s="2738"/>
      <c r="Y127" s="2738"/>
      <c r="Z127" s="2738"/>
      <c r="AA127" s="2738"/>
      <c r="AB127" s="2738"/>
      <c r="AC127" s="2738"/>
    </row>
    <row r="128" spans="1:29" ht="15" thickTop="1">
      <c r="A128" s="546"/>
      <c r="B128" s="485">
        <f>B45</f>
        <v>111</v>
      </c>
      <c r="C128" s="501"/>
      <c r="D128" s="501"/>
      <c r="E128" s="501"/>
      <c r="F128" s="501"/>
      <c r="G128" s="530"/>
      <c r="H128" s="530"/>
      <c r="I128" s="530"/>
      <c r="J128" s="530"/>
      <c r="K128" s="531"/>
      <c r="L128" s="532"/>
      <c r="M128" s="533"/>
      <c r="N128" s="2744"/>
      <c r="O128" s="2744"/>
      <c r="P128" s="2735"/>
      <c r="Q128" s="2730"/>
      <c r="R128" s="2716"/>
      <c r="S128" s="2716"/>
      <c r="T128" s="2716"/>
      <c r="U128" s="2716"/>
      <c r="V128" s="2716"/>
      <c r="W128" s="2716"/>
      <c r="X128" s="2716"/>
      <c r="Y128" s="2716"/>
      <c r="Z128" s="2716"/>
      <c r="AA128" s="2716"/>
      <c r="AB128" s="2716"/>
      <c r="AC128" s="2716"/>
    </row>
    <row r="129" spans="1:29" ht="15.75" thickBot="1">
      <c r="A129" s="481"/>
      <c r="B129" s="490"/>
      <c r="C129" s="507"/>
      <c r="D129" s="483"/>
      <c r="E129" s="483"/>
      <c r="F129" s="483"/>
      <c r="G129" s="483"/>
      <c r="H129" s="483"/>
      <c r="I129" s="483"/>
      <c r="J129" s="483"/>
      <c r="K129" s="483"/>
      <c r="L129" s="483"/>
      <c r="M129" s="484"/>
      <c r="N129" s="2745"/>
      <c r="O129" s="2745"/>
      <c r="P129" s="2735"/>
      <c r="Q129" s="2730"/>
      <c r="R129" s="2716"/>
      <c r="S129" s="2716"/>
      <c r="T129" s="2716"/>
      <c r="U129" s="2716"/>
      <c r="V129" s="2716"/>
      <c r="W129" s="2716"/>
      <c r="X129" s="2716"/>
      <c r="Y129" s="2716"/>
      <c r="Z129" s="2716"/>
      <c r="AA129" s="2716"/>
      <c r="AB129" s="2716"/>
      <c r="AC129" s="2716"/>
    </row>
    <row r="130" spans="1:29" ht="15" thickTop="1">
      <c r="A130" s="546"/>
      <c r="B130" s="493">
        <f>B46</f>
        <v>111</v>
      </c>
      <c r="C130" s="501"/>
      <c r="D130" s="501"/>
      <c r="E130" s="501"/>
      <c r="F130" s="501"/>
      <c r="G130" s="534"/>
      <c r="H130" s="534"/>
      <c r="I130" s="534"/>
      <c r="J130" s="534"/>
      <c r="K130" s="470"/>
      <c r="L130" s="471"/>
      <c r="M130" s="537"/>
      <c r="N130" s="2744"/>
      <c r="O130" s="2744"/>
      <c r="P130" s="2735"/>
      <c r="Q130" s="2730"/>
      <c r="R130" s="2716"/>
      <c r="S130" s="2716"/>
      <c r="T130" s="2716"/>
      <c r="U130" s="2716"/>
      <c r="V130" s="2716"/>
      <c r="W130" s="2716"/>
      <c r="X130" s="2716"/>
      <c r="Y130" s="2716"/>
      <c r="Z130" s="2716"/>
      <c r="AA130" s="2716"/>
      <c r="AB130" s="2716"/>
      <c r="AC130" s="2716"/>
    </row>
    <row r="131" spans="1:29" ht="15.75" thickBot="1">
      <c r="A131" s="1922"/>
      <c r="B131" s="516"/>
      <c r="C131" s="517"/>
      <c r="D131" s="517"/>
      <c r="E131" s="517"/>
      <c r="F131" s="517"/>
      <c r="G131" s="538"/>
      <c r="H131" s="538"/>
      <c r="I131" s="538"/>
      <c r="J131" s="538"/>
      <c r="K131" s="538"/>
      <c r="L131" s="538"/>
      <c r="M131" s="539"/>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1" t="s">
        <v>1808</v>
      </c>
      <c r="C1" s="1221" t="s">
        <v>1660</v>
      </c>
      <c r="D1" s="1222"/>
      <c r="E1" s="3424"/>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IF(E1="项目模式",IF(C2="——",ROUND(C50*D3/10000,0),ROUND(C50*D3/10000,0)-D2),IF(E1="单套模式",IF(C2="——",ROUND(C50*D3/10000,4),ROUND(C50*D3/10000,4)-D2)))</f>
        <v>0</v>
      </c>
      <c r="C2" s="1878"/>
      <c r="D2" s="1113" t="e">
        <f ca="1">IF(E1="项目模式",SUMIF(INDIRECT("'"&amp;F2&amp;"'"&amp;"!A:A"),"承租人权益价值",INDIRECT("'"&amp;F2&amp;"'"&amp;"!c:c")),SUMIF(INDIRECT("'"&amp;F2&amp;"'"&amp;"!A:A"),"承租人权益价值（单套）",INDIRECT("'"&amp;F2&amp;"'"&amp;"!c:c")))</f>
        <v>#REF!</v>
      </c>
      <c r="E2" s="1879" t="s">
        <v>1461</v>
      </c>
      <c r="F2" s="1880"/>
      <c r="G2" s="906"/>
      <c r="H2" s="906"/>
      <c r="I2" s="906"/>
      <c r="J2" s="906"/>
      <c r="K2" s="906"/>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1462</v>
      </c>
      <c r="B3" s="556">
        <f>IF(C2="——",C50,ROUND(B2*10000/D3,0))</f>
        <v>0</v>
      </c>
      <c r="C3" s="354" t="s">
        <v>1766</v>
      </c>
      <c r="D3" s="353">
        <f>IF(D1="",'数据-汇总表'!E3,SUMIF('数据-汇总表'!$C19:$C33,D1,'数据-汇总表'!$E19:$E33))</f>
        <v>105107.27999999982</v>
      </c>
      <c r="E3" s="1948"/>
      <c r="F3" s="907"/>
      <c r="G3" s="906"/>
      <c r="H3" s="906"/>
      <c r="I3" s="906"/>
      <c r="J3" s="906"/>
      <c r="K3" s="908"/>
      <c r="L3" s="2725"/>
      <c r="M3" s="2726"/>
      <c r="N3" s="2726"/>
      <c r="O3" s="2726"/>
      <c r="P3" s="697"/>
      <c r="Q3" s="697"/>
      <c r="R3" s="697"/>
      <c r="S3" s="697"/>
      <c r="T3" s="697"/>
      <c r="U3" s="697"/>
      <c r="V3" s="697"/>
      <c r="W3" s="697"/>
      <c r="X3" s="697"/>
      <c r="Y3" s="697"/>
      <c r="Z3" s="697"/>
      <c r="AA3" s="697"/>
      <c r="AB3" s="697"/>
      <c r="AC3" s="698"/>
    </row>
    <row r="4" spans="1:29" ht="15">
      <c r="A4" s="355" t="s">
        <v>1767</v>
      </c>
      <c r="B4" s="356"/>
      <c r="C4" s="3663" t="s">
        <v>1768</v>
      </c>
      <c r="D4" s="3675"/>
      <c r="E4" s="3676" t="s">
        <v>1769</v>
      </c>
      <c r="F4" s="3677"/>
      <c r="G4" s="3663" t="s">
        <v>1770</v>
      </c>
      <c r="H4" s="3675"/>
      <c r="I4" s="3663" t="s">
        <v>1771</v>
      </c>
      <c r="J4" s="3675"/>
      <c r="K4" s="557" t="s">
        <v>1772</v>
      </c>
      <c r="L4" s="2706"/>
      <c r="M4" s="2707"/>
      <c r="N4" s="2707"/>
      <c r="O4" s="2707"/>
      <c r="P4" s="3742" t="s">
        <v>1773</v>
      </c>
      <c r="Q4" s="3743"/>
      <c r="R4" s="3746" t="s">
        <v>1769</v>
      </c>
      <c r="S4" s="3747"/>
      <c r="T4" s="3746" t="s">
        <v>1770</v>
      </c>
      <c r="U4" s="3747"/>
      <c r="V4" s="3748" t="s">
        <v>1771</v>
      </c>
      <c r="W4" s="3748"/>
      <c r="X4" s="1952"/>
      <c r="Y4" s="3746" t="s">
        <v>1773</v>
      </c>
      <c r="Z4" s="3747"/>
      <c r="AA4" s="3750" t="s">
        <v>1769</v>
      </c>
      <c r="AB4" s="3750" t="s">
        <v>1770</v>
      </c>
      <c r="AC4" s="3739" t="s">
        <v>1771</v>
      </c>
    </row>
    <row r="5" spans="1:29" ht="15">
      <c r="A5" s="358"/>
      <c r="B5" s="359"/>
      <c r="C5" s="3692" t="s">
        <v>1671</v>
      </c>
      <c r="D5" s="3693"/>
      <c r="E5" s="3699" t="s">
        <v>1672</v>
      </c>
      <c r="F5" s="3700"/>
      <c r="G5" s="3692" t="s">
        <v>1673</v>
      </c>
      <c r="H5" s="3693"/>
      <c r="I5" s="3692" t="s">
        <v>1674</v>
      </c>
      <c r="J5" s="3693"/>
      <c r="K5" s="557"/>
      <c r="L5" s="2706"/>
      <c r="M5" s="2707"/>
      <c r="N5" s="2707"/>
      <c r="O5" s="2707"/>
      <c r="P5" s="3744"/>
      <c r="Q5" s="3681"/>
      <c r="R5" s="3686"/>
      <c r="S5" s="3687"/>
      <c r="T5" s="3686"/>
      <c r="U5" s="3687"/>
      <c r="V5" s="3671"/>
      <c r="W5" s="3671"/>
      <c r="X5" s="1352"/>
      <c r="Y5" s="3686"/>
      <c r="Z5" s="3687"/>
      <c r="AA5" s="3673"/>
      <c r="AB5" s="3673"/>
      <c r="AC5" s="3740"/>
    </row>
    <row r="6" spans="1:29" ht="15.75" thickBot="1">
      <c r="A6" s="360"/>
      <c r="B6" s="361"/>
      <c r="C6" s="3690" t="s">
        <v>1675</v>
      </c>
      <c r="D6" s="3691"/>
      <c r="E6" s="3697" t="s">
        <v>1675</v>
      </c>
      <c r="F6" s="3698"/>
      <c r="G6" s="3690" t="s">
        <v>1675</v>
      </c>
      <c r="H6" s="3691"/>
      <c r="I6" s="3690" t="s">
        <v>1675</v>
      </c>
      <c r="J6" s="3691"/>
      <c r="K6" s="557" t="s">
        <v>1676</v>
      </c>
      <c r="L6" s="2706"/>
      <c r="M6" s="2707"/>
      <c r="N6" s="2707"/>
      <c r="O6" s="2707"/>
      <c r="P6" s="3745"/>
      <c r="Q6" s="3683"/>
      <c r="R6" s="3686"/>
      <c r="S6" s="3687"/>
      <c r="T6" s="3688"/>
      <c r="U6" s="3689"/>
      <c r="V6" s="3671"/>
      <c r="W6" s="3671"/>
      <c r="X6" s="1352"/>
      <c r="Y6" s="3688"/>
      <c r="Z6" s="3689"/>
      <c r="AA6" s="3674"/>
      <c r="AB6" s="3674"/>
      <c r="AC6" s="3741"/>
    </row>
    <row r="7" spans="1:29" s="108" customFormat="1" ht="15.75" thickBot="1">
      <c r="A7" s="362" t="s">
        <v>1677</v>
      </c>
      <c r="B7" s="363"/>
      <c r="C7" s="364">
        <f>'数据-取费表'!B2</f>
        <v>45576</v>
      </c>
      <c r="D7" s="365">
        <v>100</v>
      </c>
      <c r="E7" s="366"/>
      <c r="F7" s="367">
        <f>SUMIF(59:59,YEAR(E7)&amp;"-"&amp;MONTH(E7),60:60)</f>
        <v>0</v>
      </c>
      <c r="G7" s="366"/>
      <c r="H7" s="365">
        <f>SUMIF(59:59,YEAR(G7)&amp;"-"&amp;MONTH(G7),60:60)</f>
        <v>0</v>
      </c>
      <c r="I7" s="366"/>
      <c r="J7" s="365">
        <f>SUMIF(59:59,YEAR(I7)&amp;"-"&amp;MONTH(I7),60:60)</f>
        <v>0</v>
      </c>
      <c r="K7" s="558"/>
      <c r="L7" s="2708"/>
      <c r="M7" s="2709"/>
      <c r="N7" s="2709"/>
      <c r="O7" s="2709"/>
      <c r="P7" s="3749" t="s">
        <v>1678</v>
      </c>
      <c r="Q7" s="3696"/>
      <c r="R7" s="699" t="s">
        <v>14</v>
      </c>
      <c r="S7" s="700">
        <f t="shared" ref="S7:S15" si="0">F7</f>
        <v>0</v>
      </c>
      <c r="T7" s="699" t="s">
        <v>14</v>
      </c>
      <c r="U7" s="700">
        <f t="shared" ref="U7:U15" si="1">H7</f>
        <v>0</v>
      </c>
      <c r="V7" s="699" t="s">
        <v>14</v>
      </c>
      <c r="W7" s="700">
        <f t="shared" ref="W7:W15" si="2">J7</f>
        <v>0</v>
      </c>
      <c r="X7" s="701"/>
      <c r="Y7" s="3694" t="s">
        <v>1678</v>
      </c>
      <c r="Z7" s="3695"/>
      <c r="AA7" s="702" t="e">
        <f>D7/F7</f>
        <v>#DIV/0!</v>
      </c>
      <c r="AB7" s="702" t="e">
        <f>D7/H7</f>
        <v>#DIV/0!</v>
      </c>
      <c r="AC7" s="1953" t="e">
        <f>D7/J7</f>
        <v>#DIV/0!</v>
      </c>
    </row>
    <row r="8" spans="1:29" s="108" customFormat="1" ht="15.75" thickBot="1">
      <c r="A8" s="362" t="s">
        <v>1679</v>
      </c>
      <c r="B8" s="363"/>
      <c r="C8" s="368"/>
      <c r="D8" s="365">
        <v>100</v>
      </c>
      <c r="E8" s="368"/>
      <c r="F8" s="367">
        <f>SUMIF(62:62,E8,63:63)-SUMIF(62:62,C8,63:63)+100</f>
        <v>100</v>
      </c>
      <c r="G8" s="368"/>
      <c r="H8" s="365">
        <f>SUMIF(62:62,G8,63:63)-SUMIF(62:62,C8,63:63)+100</f>
        <v>100</v>
      </c>
      <c r="I8" s="368"/>
      <c r="J8" s="365">
        <f>SUMIF(62:62,I8,63:63)-SUMIF(62:62,C8,63:63)+100</f>
        <v>100</v>
      </c>
      <c r="K8" s="558"/>
      <c r="L8" s="2708"/>
      <c r="M8" s="2709"/>
      <c r="N8" s="2709"/>
      <c r="O8" s="2709"/>
      <c r="P8" s="3749" t="s">
        <v>1681</v>
      </c>
      <c r="Q8" s="3695"/>
      <c r="R8" s="699" t="s">
        <v>14</v>
      </c>
      <c r="S8" s="700">
        <f t="shared" si="0"/>
        <v>100</v>
      </c>
      <c r="T8" s="699" t="s">
        <v>14</v>
      </c>
      <c r="U8" s="700">
        <f t="shared" si="1"/>
        <v>100</v>
      </c>
      <c r="V8" s="699" t="s">
        <v>14</v>
      </c>
      <c r="W8" s="700">
        <f t="shared" si="2"/>
        <v>100</v>
      </c>
      <c r="X8" s="701"/>
      <c r="Y8" s="3694" t="s">
        <v>1681</v>
      </c>
      <c r="Z8" s="3695"/>
      <c r="AA8" s="702">
        <f t="shared" ref="AA8:AA47" si="3">D8/F8</f>
        <v>1</v>
      </c>
      <c r="AB8" s="702">
        <f t="shared" ref="AB8:AB47" si="4">D8/H8</f>
        <v>1</v>
      </c>
      <c r="AC8" s="1953">
        <f t="shared" ref="AC8:AC47" si="5">D8/J8</f>
        <v>1</v>
      </c>
    </row>
    <row r="9" spans="1:29" s="108" customFormat="1">
      <c r="A9" s="369" t="s">
        <v>1682</v>
      </c>
      <c r="B9" s="63" t="s">
        <v>1683</v>
      </c>
      <c r="C9" s="370"/>
      <c r="D9" s="126">
        <v>100</v>
      </c>
      <c r="E9" s="373"/>
      <c r="F9" s="126">
        <f>SUMIF(64:64,E9,65:65)-SUMIF(64:64,C9,65:65)+100</f>
        <v>100</v>
      </c>
      <c r="G9" s="371"/>
      <c r="H9" s="126">
        <f>SUMIF(64:64,G9,65:65)-SUMIF(64:64,C9,65:65)+100</f>
        <v>100</v>
      </c>
      <c r="I9" s="371"/>
      <c r="J9" s="126">
        <f>SUMIF(64:64,I9,65:65)-SUMIF(64:64,C9,65:65)+100</f>
        <v>100</v>
      </c>
      <c r="K9" s="558"/>
      <c r="L9" s="2708"/>
      <c r="M9" s="2709"/>
      <c r="N9" s="2709"/>
      <c r="O9" s="2709"/>
      <c r="P9" s="3665" t="s">
        <v>1684</v>
      </c>
      <c r="Q9" s="1340" t="str">
        <f t="shared" ref="Q9:Q15" si="6">B9</f>
        <v>用途</v>
      </c>
      <c r="R9" s="699" t="s">
        <v>14</v>
      </c>
      <c r="S9" s="700">
        <f t="shared" si="0"/>
        <v>100</v>
      </c>
      <c r="T9" s="699" t="s">
        <v>14</v>
      </c>
      <c r="U9" s="700">
        <f t="shared" si="1"/>
        <v>100</v>
      </c>
      <c r="V9" s="699" t="s">
        <v>14</v>
      </c>
      <c r="W9" s="700">
        <f t="shared" si="2"/>
        <v>100</v>
      </c>
      <c r="X9" s="701"/>
      <c r="Y9" s="3563" t="s">
        <v>1685</v>
      </c>
      <c r="Z9" s="52" t="str">
        <f t="shared" ref="Z9:Z15" si="7">Q9</f>
        <v>用途</v>
      </c>
      <c r="AA9" s="702">
        <f t="shared" si="3"/>
        <v>1</v>
      </c>
      <c r="AB9" s="702">
        <f t="shared" si="4"/>
        <v>1</v>
      </c>
      <c r="AC9" s="1953">
        <f t="shared" si="5"/>
        <v>1</v>
      </c>
    </row>
    <row r="10" spans="1:29" s="378" customFormat="1" ht="27">
      <c r="A10" s="374"/>
      <c r="B10" s="375" t="s">
        <v>1686</v>
      </c>
      <c r="C10" s="3425"/>
      <c r="D10" s="127">
        <v>100</v>
      </c>
      <c r="E10" s="3425"/>
      <c r="F10" s="127">
        <f>SUMIF(66:66,E10,67:67)-SUMIF(66:66,C10,67:67)+100</f>
        <v>100</v>
      </c>
      <c r="G10" s="3426"/>
      <c r="H10" s="127">
        <f>SUMIF(66:66,G10,67:67)-SUMIF(66:66,C10,67:67)+100</f>
        <v>100</v>
      </c>
      <c r="I10" s="3425"/>
      <c r="J10" s="127">
        <f>SUMIF(66:66,I10,67:67)-SUMIF(66:66,C10,67:67)+100</f>
        <v>100</v>
      </c>
      <c r="K10" s="558"/>
      <c r="L10" s="2710"/>
      <c r="M10" s="2711"/>
      <c r="N10" s="2711"/>
      <c r="O10" s="2711"/>
      <c r="P10" s="3665"/>
      <c r="Q10" s="1340"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1953">
        <f t="shared" si="5"/>
        <v>1</v>
      </c>
    </row>
    <row r="11" spans="1:29" ht="15">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59"/>
      <c r="L11" s="2712"/>
      <c r="M11" s="2707"/>
      <c r="N11" s="2707"/>
      <c r="O11" s="2707"/>
      <c r="P11" s="3665"/>
      <c r="Q11" s="1340" t="str">
        <f t="shared" si="6"/>
        <v>容积率</v>
      </c>
      <c r="R11" s="699" t="s">
        <v>14</v>
      </c>
      <c r="S11" s="700">
        <f t="shared" si="0"/>
        <v>100</v>
      </c>
      <c r="T11" s="699" t="s">
        <v>14</v>
      </c>
      <c r="U11" s="700">
        <f t="shared" si="1"/>
        <v>100</v>
      </c>
      <c r="V11" s="699" t="s">
        <v>14</v>
      </c>
      <c r="W11" s="700">
        <f t="shared" si="2"/>
        <v>100</v>
      </c>
      <c r="X11" s="701"/>
      <c r="Y11" s="3563"/>
      <c r="Z11" s="52" t="str">
        <f t="shared" si="7"/>
        <v>容积率</v>
      </c>
      <c r="AA11" s="702">
        <f t="shared" si="3"/>
        <v>1</v>
      </c>
      <c r="AB11" s="702">
        <f t="shared" si="4"/>
        <v>1</v>
      </c>
      <c r="AC11" s="1953">
        <f t="shared" si="5"/>
        <v>1</v>
      </c>
    </row>
    <row r="12" spans="1:29" s="108" customFormat="1" ht="15">
      <c r="A12" s="382"/>
      <c r="B12" s="1889">
        <v>111</v>
      </c>
      <c r="C12" s="383"/>
      <c r="D12" s="384">
        <v>100</v>
      </c>
      <c r="E12" s="383"/>
      <c r="F12" s="127">
        <f>SUMIF(71:71,E12,72:72)-SUMIF(71:71,C12,72:72)+100</f>
        <v>100</v>
      </c>
      <c r="G12" s="1954"/>
      <c r="H12" s="127">
        <f>SUMIF(71:71,G12,72:72)-SUMIF(71:71,C12,72:72)+100</f>
        <v>100</v>
      </c>
      <c r="I12" s="383"/>
      <c r="J12" s="127">
        <f>SUMIF(71:71,I12,72:72)-SUMIF(71:71,C12,72:72)+100</f>
        <v>100</v>
      </c>
      <c r="K12" s="560"/>
      <c r="L12" s="2708"/>
      <c r="M12" s="2709"/>
      <c r="N12" s="2709"/>
      <c r="O12" s="2709"/>
      <c r="P12" s="3665"/>
      <c r="Q12" s="1340">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1953">
        <f>D12/J12</f>
        <v>1</v>
      </c>
    </row>
    <row r="13" spans="1:29" ht="15">
      <c r="A13" s="379"/>
      <c r="B13" s="1889">
        <v>111</v>
      </c>
      <c r="C13" s="385"/>
      <c r="D13" s="386">
        <v>100</v>
      </c>
      <c r="E13" s="383"/>
      <c r="F13" s="127">
        <f>SUMIF(73:73,E13,74:74)-SUMIF(73:73,C13,74:74)+100</f>
        <v>100</v>
      </c>
      <c r="G13" s="1954"/>
      <c r="H13" s="386">
        <f>SUMIF(73:73,G13,74:74)-SUMIF(73:73,C13,74:74)+100</f>
        <v>100</v>
      </c>
      <c r="I13" s="383"/>
      <c r="J13" s="386">
        <f>SUMIF(73:73,I13,74:74)-SUMIF(73:73,C13,74:74)+100</f>
        <v>100</v>
      </c>
      <c r="K13" s="560"/>
      <c r="L13" s="2713"/>
      <c r="M13" s="2707"/>
      <c r="N13" s="2707"/>
      <c r="O13" s="2707"/>
      <c r="P13" s="3665"/>
      <c r="Q13" s="1340">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1953">
        <f t="shared" si="5"/>
        <v>1</v>
      </c>
    </row>
    <row r="14" spans="1:29" ht="15.75" thickBot="1">
      <c r="A14" s="387"/>
      <c r="B14" s="1891">
        <v>111</v>
      </c>
      <c r="C14" s="388"/>
      <c r="D14" s="389">
        <v>100</v>
      </c>
      <c r="E14" s="574"/>
      <c r="F14" s="389">
        <f>SUMIF(75:75,E14,76:76)-SUMIF(75:75,C14,76:76)+100</f>
        <v>100</v>
      </c>
      <c r="G14" s="1954"/>
      <c r="H14" s="389">
        <f>SUMIF(75:75,G14,76:76)-SUMIF(75:75,C14,76:76)+100</f>
        <v>100</v>
      </c>
      <c r="I14" s="383"/>
      <c r="J14" s="389">
        <f>SUMIF(75:75,I14,76:76)-SUMIF(75:75,C14,76:76)+100</f>
        <v>100</v>
      </c>
      <c r="K14" s="560"/>
      <c r="L14" s="2713"/>
      <c r="M14" s="2707"/>
      <c r="N14" s="2707"/>
      <c r="O14" s="2707"/>
      <c r="P14" s="3665"/>
      <c r="Q14" s="1340">
        <f t="shared" si="6"/>
        <v>111</v>
      </c>
      <c r="R14" s="699" t="s">
        <v>14</v>
      </c>
      <c r="S14" s="700">
        <f t="shared" si="0"/>
        <v>100</v>
      </c>
      <c r="T14" s="699" t="s">
        <v>14</v>
      </c>
      <c r="U14" s="700">
        <f t="shared" si="1"/>
        <v>100</v>
      </c>
      <c r="V14" s="699" t="s">
        <v>14</v>
      </c>
      <c r="W14" s="700">
        <f t="shared" si="2"/>
        <v>100</v>
      </c>
      <c r="X14" s="701"/>
      <c r="Y14" s="3563"/>
      <c r="Z14" s="52">
        <f t="shared" si="7"/>
        <v>111</v>
      </c>
      <c r="AA14" s="702">
        <f t="shared" si="3"/>
        <v>1</v>
      </c>
      <c r="AB14" s="702">
        <f t="shared" si="4"/>
        <v>1</v>
      </c>
      <c r="AC14" s="1953">
        <f t="shared" si="5"/>
        <v>1</v>
      </c>
    </row>
    <row r="15" spans="1:29" ht="15">
      <c r="A15" s="391" t="s">
        <v>1688</v>
      </c>
      <c r="B15" s="575" t="s">
        <v>1809</v>
      </c>
      <c r="C15" s="1955" t="str">
        <f>估价对象房地状况!C5</f>
        <v>一般</v>
      </c>
      <c r="D15" s="392">
        <v>100</v>
      </c>
      <c r="E15" s="395"/>
      <c r="F15" s="392">
        <f>SUMIF(77:77,E16,78:78)-SUMIF(77:77,C16,78:78)+100</f>
        <v>100</v>
      </c>
      <c r="G15" s="393"/>
      <c r="H15" s="392">
        <f>SUMIF(77:77,G16,78:78)-SUMIF(77:77,C16,78:78)+100</f>
        <v>100</v>
      </c>
      <c r="I15" s="393"/>
      <c r="J15" s="392">
        <f>SUMIF(77:77,I16,78:78)-SUMIF(77:77,C16,78:78)+100</f>
        <v>100</v>
      </c>
      <c r="K15" s="561"/>
      <c r="L15" s="2713"/>
      <c r="M15" s="2707"/>
      <c r="N15" s="2707"/>
      <c r="O15" s="2707"/>
      <c r="P15" s="3733" t="s">
        <v>1689</v>
      </c>
      <c r="Q15" s="1349" t="str">
        <f t="shared" si="6"/>
        <v>办公集聚程度</v>
      </c>
      <c r="R15" s="703" t="s">
        <v>14</v>
      </c>
      <c r="S15" s="704">
        <f t="shared" si="0"/>
        <v>100</v>
      </c>
      <c r="T15" s="703" t="s">
        <v>14</v>
      </c>
      <c r="U15" s="704">
        <f t="shared" si="1"/>
        <v>100</v>
      </c>
      <c r="V15" s="703" t="s">
        <v>14</v>
      </c>
      <c r="W15" s="704">
        <f t="shared" si="2"/>
        <v>100</v>
      </c>
      <c r="X15" s="1352"/>
      <c r="Y15" s="3667" t="s">
        <v>1689</v>
      </c>
      <c r="Z15" s="1353" t="str">
        <f t="shared" si="7"/>
        <v>办公集聚程度</v>
      </c>
      <c r="AA15" s="1350">
        <f t="shared" si="3"/>
        <v>1</v>
      </c>
      <c r="AB15" s="1350">
        <f t="shared" si="4"/>
        <v>1</v>
      </c>
      <c r="AC15" s="1956">
        <f t="shared" si="5"/>
        <v>1</v>
      </c>
    </row>
    <row r="16" spans="1:29" ht="15">
      <c r="A16" s="379"/>
      <c r="B16" s="576"/>
      <c r="C16" s="1900"/>
      <c r="D16" s="399"/>
      <c r="E16" s="398"/>
      <c r="F16" s="399"/>
      <c r="G16" s="1900"/>
      <c r="H16" s="401"/>
      <c r="I16" s="398"/>
      <c r="J16" s="399"/>
      <c r="K16" s="562"/>
      <c r="L16" s="2713"/>
      <c r="M16" s="2707"/>
      <c r="N16" s="2707"/>
      <c r="O16" s="2707"/>
      <c r="P16" s="3734"/>
      <c r="Q16" s="1349"/>
      <c r="R16" s="703"/>
      <c r="S16" s="704"/>
      <c r="T16" s="703"/>
      <c r="U16" s="704"/>
      <c r="V16" s="703"/>
      <c r="W16" s="704"/>
      <c r="X16" s="1352"/>
      <c r="Y16" s="3668"/>
      <c r="Z16" s="1353"/>
      <c r="AA16" s="1350">
        <v>1</v>
      </c>
      <c r="AB16" s="1350">
        <v>1</v>
      </c>
      <c r="AC16" s="1956">
        <v>1</v>
      </c>
    </row>
    <row r="17" spans="1:29" ht="15">
      <c r="A17" s="379"/>
      <c r="B17" s="577" t="s">
        <v>1257</v>
      </c>
      <c r="C17" s="1957" t="str">
        <f>估价对象房地状况!C6</f>
        <v>一般</v>
      </c>
      <c r="D17" s="401">
        <v>100</v>
      </c>
      <c r="E17" s="405"/>
      <c r="F17" s="401">
        <f>SUMIF(79:79,E18,80:80)-SUMIF(79:79,C18,80:80)+100</f>
        <v>100</v>
      </c>
      <c r="G17" s="403"/>
      <c r="H17" s="406">
        <f>SUMIF(79:79,G18,80:80)-SUMIF(79:79,C18,80:80)+100</f>
        <v>100</v>
      </c>
      <c r="I17" s="403"/>
      <c r="J17" s="406">
        <f>SUMIF(79:79,I18,80:80)-SUMIF(79:79,C18,80:80)+100</f>
        <v>100</v>
      </c>
      <c r="K17" s="561"/>
      <c r="L17" s="2713"/>
      <c r="M17" s="2707"/>
      <c r="N17" s="2707"/>
      <c r="O17" s="2707"/>
      <c r="P17" s="3734"/>
      <c r="Q17" s="1349" t="str">
        <f>B17</f>
        <v>交通便捷度</v>
      </c>
      <c r="R17" s="703" t="s">
        <v>14</v>
      </c>
      <c r="S17" s="704">
        <f>F17</f>
        <v>100</v>
      </c>
      <c r="T17" s="703" t="s">
        <v>14</v>
      </c>
      <c r="U17" s="704">
        <f>H17</f>
        <v>100</v>
      </c>
      <c r="V17" s="703" t="s">
        <v>14</v>
      </c>
      <c r="W17" s="704">
        <f>J17</f>
        <v>100</v>
      </c>
      <c r="X17" s="1352"/>
      <c r="Y17" s="3668"/>
      <c r="Z17" s="1353" t="str">
        <f>Q17</f>
        <v>交通便捷度</v>
      </c>
      <c r="AA17" s="1350">
        <f t="shared" si="3"/>
        <v>1</v>
      </c>
      <c r="AB17" s="1350">
        <f t="shared" si="4"/>
        <v>1</v>
      </c>
      <c r="AC17" s="1956">
        <f t="shared" si="5"/>
        <v>1</v>
      </c>
    </row>
    <row r="18" spans="1:29" ht="15">
      <c r="A18" s="379"/>
      <c r="B18" s="578"/>
      <c r="C18" s="1958"/>
      <c r="D18" s="401"/>
      <c r="E18" s="1898"/>
      <c r="F18" s="401"/>
      <c r="G18" s="1899"/>
      <c r="H18" s="399"/>
      <c r="I18" s="1899"/>
      <c r="J18" s="399"/>
      <c r="K18" s="562"/>
      <c r="L18" s="2713"/>
      <c r="M18" s="2707"/>
      <c r="N18" s="2707"/>
      <c r="O18" s="2707"/>
      <c r="P18" s="3734"/>
      <c r="Q18" s="1349"/>
      <c r="R18" s="703"/>
      <c r="S18" s="704"/>
      <c r="T18" s="703"/>
      <c r="U18" s="704"/>
      <c r="V18" s="703"/>
      <c r="W18" s="704"/>
      <c r="X18" s="1352"/>
      <c r="Y18" s="3668"/>
      <c r="Z18" s="1353"/>
      <c r="AA18" s="1350">
        <v>1</v>
      </c>
      <c r="AB18" s="1350">
        <v>1</v>
      </c>
      <c r="AC18" s="1956">
        <v>1</v>
      </c>
    </row>
    <row r="19" spans="1:29" ht="15">
      <c r="A19" s="379"/>
      <c r="B19" s="577" t="s">
        <v>1810</v>
      </c>
      <c r="C19" s="1957" t="str">
        <f>估价对象房地状况!C7</f>
        <v>一般</v>
      </c>
      <c r="D19" s="406">
        <v>100</v>
      </c>
      <c r="E19" s="410"/>
      <c r="F19" s="406">
        <f>SUMIF(81:81,E20,82:82)-SUMIF(81:81,C20,82:82)+100</f>
        <v>100</v>
      </c>
      <c r="G19" s="408"/>
      <c r="H19" s="401">
        <f>SUMIF(81:81,G20,82:82)-SUMIF(81:81,C20,82:82)+100</f>
        <v>100</v>
      </c>
      <c r="I19" s="408"/>
      <c r="J19" s="401">
        <f>SUMIF(81:81,I20,82:82)-SUMIF(81:81,C20,82:82)+100</f>
        <v>100</v>
      </c>
      <c r="K19" s="561"/>
      <c r="L19" s="2713"/>
      <c r="M19" s="2707"/>
      <c r="N19" s="2707"/>
      <c r="O19" s="2707"/>
      <c r="P19" s="3734"/>
      <c r="Q19" s="1349" t="str">
        <f>B19</f>
        <v>公共配套设施</v>
      </c>
      <c r="R19" s="703" t="s">
        <v>14</v>
      </c>
      <c r="S19" s="704">
        <f>F19</f>
        <v>100</v>
      </c>
      <c r="T19" s="703" t="s">
        <v>14</v>
      </c>
      <c r="U19" s="704">
        <f>H19</f>
        <v>100</v>
      </c>
      <c r="V19" s="703" t="s">
        <v>14</v>
      </c>
      <c r="W19" s="704">
        <f>J19</f>
        <v>100</v>
      </c>
      <c r="X19" s="1352"/>
      <c r="Y19" s="3668"/>
      <c r="Z19" s="1353" t="str">
        <f>Q19</f>
        <v>公共配套设施</v>
      </c>
      <c r="AA19" s="1350">
        <f t="shared" si="3"/>
        <v>1</v>
      </c>
      <c r="AB19" s="1350">
        <f t="shared" si="4"/>
        <v>1</v>
      </c>
      <c r="AC19" s="1956">
        <f t="shared" si="5"/>
        <v>1</v>
      </c>
    </row>
    <row r="20" spans="1:29" ht="15">
      <c r="A20" s="379"/>
      <c r="B20" s="578"/>
      <c r="C20" s="1900"/>
      <c r="D20" s="399"/>
      <c r="E20" s="1893"/>
      <c r="F20" s="399"/>
      <c r="G20" s="1894"/>
      <c r="H20" s="399"/>
      <c r="I20" s="1894"/>
      <c r="J20" s="399"/>
      <c r="K20" s="562"/>
      <c r="L20" s="2713"/>
      <c r="M20" s="2707"/>
      <c r="N20" s="2707"/>
      <c r="O20" s="2707"/>
      <c r="P20" s="3734"/>
      <c r="Q20" s="1349"/>
      <c r="R20" s="703"/>
      <c r="S20" s="704"/>
      <c r="T20" s="703"/>
      <c r="U20" s="704"/>
      <c r="V20" s="703"/>
      <c r="W20" s="704"/>
      <c r="X20" s="1352"/>
      <c r="Y20" s="3668"/>
      <c r="Z20" s="1353"/>
      <c r="AA20" s="1350">
        <v>1</v>
      </c>
      <c r="AB20" s="1350">
        <v>1</v>
      </c>
      <c r="AC20" s="1956">
        <v>1</v>
      </c>
    </row>
    <row r="21" spans="1:29" ht="15">
      <c r="A21" s="379"/>
      <c r="B21" s="579" t="s">
        <v>1811</v>
      </c>
      <c r="C21" s="1957" t="str">
        <f>估价对象房地状况!C8</f>
        <v>六通</v>
      </c>
      <c r="D21" s="401">
        <v>100</v>
      </c>
      <c r="E21" s="410"/>
      <c r="F21" s="406">
        <f>SUMIF(83:83,E22,84:84)-SUMIF(83:83,C22,84:84)+100</f>
        <v>100</v>
      </c>
      <c r="G21" s="408"/>
      <c r="H21" s="401">
        <f>SUMIF(83:83,G22,84:84)-SUMIF(83:83,C22,84:84)+100</f>
        <v>100</v>
      </c>
      <c r="I21" s="408"/>
      <c r="J21" s="401">
        <f>SUMIF(83:83,I22,84:84)-SUMIF(83:83,C22,84:84)+100</f>
        <v>100</v>
      </c>
      <c r="K21" s="561"/>
      <c r="L21" s="2713"/>
      <c r="M21" s="2707"/>
      <c r="N21" s="2707"/>
      <c r="O21" s="2707"/>
      <c r="P21" s="3734"/>
      <c r="Q21" s="1349" t="str">
        <f>B21</f>
        <v>基础设施水平</v>
      </c>
      <c r="R21" s="703" t="s">
        <v>14</v>
      </c>
      <c r="S21" s="704">
        <f>F21</f>
        <v>100</v>
      </c>
      <c r="T21" s="703" t="s">
        <v>14</v>
      </c>
      <c r="U21" s="704">
        <f>H21</f>
        <v>100</v>
      </c>
      <c r="V21" s="703" t="s">
        <v>14</v>
      </c>
      <c r="W21" s="704">
        <f>J21</f>
        <v>100</v>
      </c>
      <c r="X21" s="1352"/>
      <c r="Y21" s="3668"/>
      <c r="Z21" s="1353" t="str">
        <f>Q21</f>
        <v>基础设施水平</v>
      </c>
      <c r="AA21" s="1350">
        <f t="shared" ref="AA21" si="8">D21/F21</f>
        <v>1</v>
      </c>
      <c r="AB21" s="1350">
        <f t="shared" ref="AB21" si="9">D21/H21</f>
        <v>1</v>
      </c>
      <c r="AC21" s="1956">
        <f t="shared" ref="AC21" si="10">D21/J21</f>
        <v>1</v>
      </c>
    </row>
    <row r="22" spans="1:29" ht="15">
      <c r="A22" s="379"/>
      <c r="B22" s="579"/>
      <c r="C22" s="1958"/>
      <c r="D22" s="399"/>
      <c r="E22" s="398"/>
      <c r="F22" s="399"/>
      <c r="G22" s="1900"/>
      <c r="H22" s="399"/>
      <c r="I22" s="1900"/>
      <c r="J22" s="399"/>
      <c r="K22" s="1128"/>
      <c r="L22" s="2713"/>
      <c r="M22" s="2707"/>
      <c r="N22" s="2707"/>
      <c r="O22" s="2707"/>
      <c r="P22" s="3734"/>
      <c r="Q22" s="1349"/>
      <c r="R22" s="703"/>
      <c r="S22" s="704"/>
      <c r="T22" s="703"/>
      <c r="U22" s="704"/>
      <c r="V22" s="703"/>
      <c r="W22" s="704"/>
      <c r="X22" s="1352"/>
      <c r="Y22" s="3668"/>
      <c r="Z22" s="1353"/>
      <c r="AA22" s="1350">
        <v>1</v>
      </c>
      <c r="AB22" s="1350">
        <v>1</v>
      </c>
      <c r="AC22" s="1956">
        <v>1</v>
      </c>
    </row>
    <row r="23" spans="1:29" ht="15">
      <c r="A23" s="379"/>
      <c r="B23" s="577" t="s">
        <v>1812</v>
      </c>
      <c r="C23" s="1957" t="str">
        <f>估价对象房地状况!C9</f>
        <v>较好</v>
      </c>
      <c r="D23" s="401">
        <v>100</v>
      </c>
      <c r="E23" s="405"/>
      <c r="F23" s="401">
        <f>SUMIF(85:85,E24,86:86)-SUMIF(85:85,C24,86:86)+100</f>
        <v>100</v>
      </c>
      <c r="G23" s="403"/>
      <c r="H23" s="401">
        <f>SUMIF(85:85,G24,86:86)-SUMIF(85:85,C24,86:86)+100</f>
        <v>100</v>
      </c>
      <c r="I23" s="403"/>
      <c r="J23" s="401">
        <f>SUMIF(85:85,I24,86:86)-SUMIF(85:85,C24,86:86)+100</f>
        <v>100</v>
      </c>
      <c r="K23" s="561"/>
      <c r="L23" s="2713"/>
      <c r="M23" s="2707"/>
      <c r="N23" s="2707"/>
      <c r="O23" s="2707"/>
      <c r="P23" s="3734"/>
      <c r="Q23" s="1349" t="str">
        <f>B23</f>
        <v>环境质量</v>
      </c>
      <c r="R23" s="703" t="s">
        <v>14</v>
      </c>
      <c r="S23" s="704">
        <f>F23</f>
        <v>100</v>
      </c>
      <c r="T23" s="703" t="s">
        <v>14</v>
      </c>
      <c r="U23" s="704">
        <f>H23</f>
        <v>100</v>
      </c>
      <c r="V23" s="703" t="s">
        <v>14</v>
      </c>
      <c r="W23" s="704">
        <f>J23</f>
        <v>100</v>
      </c>
      <c r="X23" s="1352"/>
      <c r="Y23" s="3668"/>
      <c r="Z23" s="1353" t="str">
        <f>Q23</f>
        <v>环境质量</v>
      </c>
      <c r="AA23" s="1350">
        <f t="shared" si="3"/>
        <v>1</v>
      </c>
      <c r="AB23" s="1350">
        <f t="shared" si="4"/>
        <v>1</v>
      </c>
      <c r="AC23" s="1956">
        <f t="shared" si="5"/>
        <v>1</v>
      </c>
    </row>
    <row r="24" spans="1:29" ht="15">
      <c r="A24" s="379"/>
      <c r="B24" s="579"/>
      <c r="C24" s="1900"/>
      <c r="D24" s="399"/>
      <c r="E24" s="1893"/>
      <c r="F24" s="399"/>
      <c r="G24" s="1894"/>
      <c r="H24" s="399"/>
      <c r="I24" s="1894"/>
      <c r="J24" s="399"/>
      <c r="K24" s="562"/>
      <c r="L24" s="2713"/>
      <c r="M24" s="2707"/>
      <c r="N24" s="2707"/>
      <c r="O24" s="2707"/>
      <c r="P24" s="3734"/>
      <c r="Q24" s="1349"/>
      <c r="R24" s="703"/>
      <c r="S24" s="704"/>
      <c r="T24" s="703"/>
      <c r="U24" s="704"/>
      <c r="V24" s="703"/>
      <c r="W24" s="704"/>
      <c r="X24" s="1352"/>
      <c r="Y24" s="3668"/>
      <c r="Z24" s="1353"/>
      <c r="AA24" s="1350">
        <v>1</v>
      </c>
      <c r="AB24" s="1350">
        <v>1</v>
      </c>
      <c r="AC24" s="1956">
        <v>1</v>
      </c>
    </row>
    <row r="25" spans="1:29" ht="27">
      <c r="A25" s="358"/>
      <c r="B25" s="577" t="s">
        <v>1813</v>
      </c>
      <c r="C25" s="1904"/>
      <c r="D25" s="386">
        <v>100</v>
      </c>
      <c r="E25" s="385"/>
      <c r="F25" s="386">
        <f>SUMIF(87:87,E26,88:88)-SUMIF(87:87,C26,88:88)+100</f>
        <v>100</v>
      </c>
      <c r="G25" s="1904"/>
      <c r="H25" s="386">
        <f>SUMIF(87:87,G26,88:88)-SUMIF(87:87,C26,88:88)+100</f>
        <v>100</v>
      </c>
      <c r="I25" s="385"/>
      <c r="J25" s="386">
        <f>SUMIF(87:87,I26,88:88)-SUMIF(87:87,C26,88:88)+100</f>
        <v>100</v>
      </c>
      <c r="K25" s="561"/>
      <c r="L25" s="2713"/>
      <c r="M25" s="2707"/>
      <c r="N25" s="2707"/>
      <c r="O25" s="2707"/>
      <c r="P25" s="3734"/>
      <c r="Q25" s="1349" t="str">
        <f>B25</f>
        <v>毗邻道路的类型与等级</v>
      </c>
      <c r="R25" s="703" t="s">
        <v>14</v>
      </c>
      <c r="S25" s="704">
        <f>F25</f>
        <v>100</v>
      </c>
      <c r="T25" s="703" t="s">
        <v>14</v>
      </c>
      <c r="U25" s="704">
        <f>H25</f>
        <v>100</v>
      </c>
      <c r="V25" s="703" t="s">
        <v>14</v>
      </c>
      <c r="W25" s="704">
        <f>J25</f>
        <v>100</v>
      </c>
      <c r="X25" s="1352"/>
      <c r="Y25" s="3668"/>
      <c r="Z25" s="1353" t="str">
        <f>Q25</f>
        <v>毗邻道路的类型与等级</v>
      </c>
      <c r="AA25" s="1350">
        <f t="shared" si="3"/>
        <v>1</v>
      </c>
      <c r="AB25" s="1350">
        <f t="shared" si="4"/>
        <v>1</v>
      </c>
      <c r="AC25" s="1956">
        <f t="shared" si="5"/>
        <v>1</v>
      </c>
    </row>
    <row r="26" spans="1:29" ht="15">
      <c r="A26" s="358"/>
      <c r="B26" s="578"/>
      <c r="C26" s="580"/>
      <c r="D26" s="386"/>
      <c r="E26" s="563"/>
      <c r="F26" s="386"/>
      <c r="G26" s="580"/>
      <c r="H26" s="386"/>
      <c r="I26" s="563"/>
      <c r="J26" s="386"/>
      <c r="K26" s="562"/>
      <c r="L26" s="2713"/>
      <c r="M26" s="2707"/>
      <c r="N26" s="2707"/>
      <c r="O26" s="2707"/>
      <c r="P26" s="3734"/>
      <c r="Q26" s="1349"/>
      <c r="R26" s="703"/>
      <c r="S26" s="704"/>
      <c r="T26" s="703"/>
      <c r="U26" s="704"/>
      <c r="V26" s="703"/>
      <c r="W26" s="704"/>
      <c r="X26" s="1352"/>
      <c r="Y26" s="3668"/>
      <c r="Z26" s="1353"/>
      <c r="AA26" s="1350">
        <v>1</v>
      </c>
      <c r="AB26" s="1350">
        <v>1</v>
      </c>
      <c r="AC26" s="1956">
        <v>1</v>
      </c>
    </row>
    <row r="27" spans="1:29" ht="15">
      <c r="A27" s="379"/>
      <c r="B27" s="578" t="s">
        <v>1781</v>
      </c>
      <c r="C27" s="580"/>
      <c r="D27" s="386">
        <v>100</v>
      </c>
      <c r="E27" s="563"/>
      <c r="F27" s="386">
        <f>SUMIF(89:89,E27,90:90)-SUMIF(89:89,C27,90:90)+100</f>
        <v>100</v>
      </c>
      <c r="G27" s="580"/>
      <c r="H27" s="386">
        <f>SUMIF(89:89,G27,90:90)-SUMIF(89:89,C27,90:90)+100</f>
        <v>100</v>
      </c>
      <c r="I27" s="563"/>
      <c r="J27" s="386">
        <f>SUMIF(89:89,I27,90:90)-SUMIF(89:89,C27,90:90)+100</f>
        <v>100</v>
      </c>
      <c r="K27" s="559"/>
      <c r="L27" s="2713"/>
      <c r="M27" s="2707"/>
      <c r="N27" s="2707"/>
      <c r="O27" s="2707"/>
      <c r="P27" s="3734"/>
      <c r="Q27" s="1349" t="str">
        <f t="shared" ref="Q27:Q47" si="11">B27</f>
        <v>楼层</v>
      </c>
      <c r="R27" s="703" t="s">
        <v>14</v>
      </c>
      <c r="S27" s="704">
        <f>F27</f>
        <v>100</v>
      </c>
      <c r="T27" s="703" t="s">
        <v>14</v>
      </c>
      <c r="U27" s="704">
        <f>H27</f>
        <v>100</v>
      </c>
      <c r="V27" s="703" t="s">
        <v>14</v>
      </c>
      <c r="W27" s="704">
        <f>J27</f>
        <v>100</v>
      </c>
      <c r="X27" s="1352"/>
      <c r="Y27" s="3668"/>
      <c r="Z27" s="1353" t="str">
        <f>Q27</f>
        <v>楼层</v>
      </c>
      <c r="AA27" s="1350">
        <f t="shared" si="3"/>
        <v>1</v>
      </c>
      <c r="AB27" s="1350">
        <f t="shared" si="4"/>
        <v>1</v>
      </c>
      <c r="AC27" s="1956">
        <f t="shared" si="5"/>
        <v>1</v>
      </c>
    </row>
    <row r="28" spans="1:29" s="108" customFormat="1" ht="15">
      <c r="A28" s="382"/>
      <c r="B28" s="577" t="s">
        <v>1814</v>
      </c>
      <c r="C28" s="1959"/>
      <c r="D28" s="413">
        <v>100</v>
      </c>
      <c r="E28" s="1950"/>
      <c r="F28" s="413">
        <f>SUMIF(91:91,E28,92:92)-SUMIF(91:91,C28,92:92)+100</f>
        <v>100</v>
      </c>
      <c r="G28" s="1959"/>
      <c r="H28" s="413">
        <f>SUMIF(91:91,G28,92:92)-SUMIF(91:91,C28,92:92)+100</f>
        <v>100</v>
      </c>
      <c r="I28" s="1950"/>
      <c r="J28" s="413">
        <f>SUMIF(91:91,I28,92:92)-SUMIF(91:91,C28,92:92)+100</f>
        <v>100</v>
      </c>
      <c r="K28" s="559"/>
      <c r="L28" s="2708"/>
      <c r="M28" s="2709"/>
      <c r="N28" s="2709"/>
      <c r="O28" s="2709"/>
      <c r="P28" s="3734"/>
      <c r="Q28" s="1340" t="str">
        <f t="shared" si="11"/>
        <v>朝向</v>
      </c>
      <c r="R28" s="699" t="s">
        <v>14</v>
      </c>
      <c r="S28" s="700">
        <f>F28</f>
        <v>100</v>
      </c>
      <c r="T28" s="699" t="s">
        <v>14</v>
      </c>
      <c r="U28" s="700">
        <f>H28</f>
        <v>100</v>
      </c>
      <c r="V28" s="699" t="s">
        <v>14</v>
      </c>
      <c r="W28" s="700">
        <f>J28</f>
        <v>100</v>
      </c>
      <c r="X28" s="701"/>
      <c r="Y28" s="3668"/>
      <c r="Z28" s="52" t="str">
        <f>Q28</f>
        <v>朝向</v>
      </c>
      <c r="AA28" s="1350">
        <f>D28/F28</f>
        <v>1</v>
      </c>
      <c r="AB28" s="1350">
        <f>D28/H28</f>
        <v>1</v>
      </c>
      <c r="AC28" s="1956">
        <f>D28/J28</f>
        <v>1</v>
      </c>
    </row>
    <row r="29" spans="1:29" ht="15">
      <c r="A29" s="379"/>
      <c r="B29" s="1960">
        <v>111</v>
      </c>
      <c r="C29" s="1904"/>
      <c r="D29" s="386">
        <v>100</v>
      </c>
      <c r="E29" s="383"/>
      <c r="F29" s="386">
        <f>SUMIF(93:93,E29,94:94)-SUMIF(93:93,C29,94:94)+100</f>
        <v>100</v>
      </c>
      <c r="G29" s="1954"/>
      <c r="H29" s="386">
        <f>SUMIF(93:93,G29,94:94)-SUMIF(93:93,C29,94:94)+100</f>
        <v>100</v>
      </c>
      <c r="I29" s="383"/>
      <c r="J29" s="386">
        <f>SUMIF(93:93,I29,94:94)-SUMIF(93:93,C29,94:94)+100</f>
        <v>100</v>
      </c>
      <c r="K29" s="560"/>
      <c r="L29" s="2713"/>
      <c r="M29" s="2707"/>
      <c r="N29" s="2707"/>
      <c r="O29" s="2707"/>
      <c r="P29" s="3734"/>
      <c r="Q29" s="1349">
        <f t="shared" si="11"/>
        <v>111</v>
      </c>
      <c r="R29" s="703" t="s">
        <v>14</v>
      </c>
      <c r="S29" s="704">
        <f t="shared" ref="S29:S47" si="12">F29</f>
        <v>100</v>
      </c>
      <c r="T29" s="703" t="s">
        <v>14</v>
      </c>
      <c r="U29" s="704">
        <f t="shared" ref="U29:U47" si="13">H29</f>
        <v>100</v>
      </c>
      <c r="V29" s="703" t="s">
        <v>14</v>
      </c>
      <c r="W29" s="704">
        <f t="shared" ref="W29:W47" si="14">J29</f>
        <v>100</v>
      </c>
      <c r="X29" s="1352"/>
      <c r="Y29" s="3668"/>
      <c r="Z29" s="1353">
        <f t="shared" ref="Z29:Z47" si="15">Q29</f>
        <v>111</v>
      </c>
      <c r="AA29" s="1350">
        <f t="shared" si="3"/>
        <v>1</v>
      </c>
      <c r="AB29" s="1350">
        <f t="shared" si="4"/>
        <v>1</v>
      </c>
      <c r="AC29" s="1956">
        <f t="shared" si="5"/>
        <v>1</v>
      </c>
    </row>
    <row r="30" spans="1:29" ht="15">
      <c r="A30" s="379"/>
      <c r="B30" s="1960">
        <v>111</v>
      </c>
      <c r="C30" s="1904"/>
      <c r="D30" s="386">
        <v>100</v>
      </c>
      <c r="E30" s="383"/>
      <c r="F30" s="386">
        <f>SUMIF(95:95,E30,96:96)-SUMIF(95:95,C30,96:96)+100</f>
        <v>100</v>
      </c>
      <c r="G30" s="1954"/>
      <c r="H30" s="386">
        <f>SUMIF(95:95,G30,96:96)-SUMIF(95:95,C30,96:96)+100</f>
        <v>100</v>
      </c>
      <c r="I30" s="383"/>
      <c r="J30" s="386">
        <f>SUMIF(95:95,I30,96:96)-SUMIF(95:95,C30,96:96)+100</f>
        <v>100</v>
      </c>
      <c r="K30" s="560"/>
      <c r="L30" s="2713"/>
      <c r="M30" s="2707"/>
      <c r="N30" s="2707"/>
      <c r="O30" s="2707"/>
      <c r="P30" s="3734"/>
      <c r="Q30" s="1349">
        <f t="shared" si="11"/>
        <v>111</v>
      </c>
      <c r="R30" s="703" t="s">
        <v>14</v>
      </c>
      <c r="S30" s="704">
        <f t="shared" si="12"/>
        <v>100</v>
      </c>
      <c r="T30" s="703" t="s">
        <v>14</v>
      </c>
      <c r="U30" s="704">
        <f t="shared" si="13"/>
        <v>100</v>
      </c>
      <c r="V30" s="703" t="s">
        <v>14</v>
      </c>
      <c r="W30" s="704">
        <f t="shared" si="14"/>
        <v>100</v>
      </c>
      <c r="X30" s="1352"/>
      <c r="Y30" s="3668"/>
      <c r="Z30" s="1353">
        <f t="shared" si="15"/>
        <v>111</v>
      </c>
      <c r="AA30" s="1350">
        <f t="shared" si="3"/>
        <v>1</v>
      </c>
      <c r="AB30" s="1350">
        <f t="shared" si="4"/>
        <v>1</v>
      </c>
      <c r="AC30" s="1956">
        <f t="shared" si="5"/>
        <v>1</v>
      </c>
    </row>
    <row r="31" spans="1:29" ht="15">
      <c r="A31" s="379"/>
      <c r="B31" s="1960">
        <v>111</v>
      </c>
      <c r="C31" s="1904"/>
      <c r="D31" s="386">
        <v>100</v>
      </c>
      <c r="E31" s="383"/>
      <c r="F31" s="386">
        <f>SUMIF(97:97,E31,98:98)-SUMIF(97:97,C31,98:98)+100</f>
        <v>100</v>
      </c>
      <c r="G31" s="1954"/>
      <c r="H31" s="386">
        <f>SUMIF(97:97,G31,98:98)-SUMIF(97:97,C31,98:98)+100</f>
        <v>100</v>
      </c>
      <c r="I31" s="383"/>
      <c r="J31" s="386">
        <f>SUMIF(97:97,I31,98:98)-SUMIF(97:97,C31,98:98)+100</f>
        <v>100</v>
      </c>
      <c r="K31" s="560"/>
      <c r="L31" s="2713"/>
      <c r="M31" s="2707"/>
      <c r="N31" s="2707"/>
      <c r="O31" s="2707"/>
      <c r="P31" s="3734"/>
      <c r="Q31" s="1349">
        <f t="shared" si="11"/>
        <v>111</v>
      </c>
      <c r="R31" s="703" t="s">
        <v>14</v>
      </c>
      <c r="S31" s="704">
        <f t="shared" si="12"/>
        <v>100</v>
      </c>
      <c r="T31" s="703" t="s">
        <v>14</v>
      </c>
      <c r="U31" s="704">
        <f t="shared" si="13"/>
        <v>100</v>
      </c>
      <c r="V31" s="703" t="s">
        <v>14</v>
      </c>
      <c r="W31" s="704">
        <f t="shared" si="14"/>
        <v>100</v>
      </c>
      <c r="X31" s="1352"/>
      <c r="Y31" s="3668"/>
      <c r="Z31" s="1353">
        <f t="shared" si="15"/>
        <v>111</v>
      </c>
      <c r="AA31" s="1350">
        <f t="shared" si="3"/>
        <v>1</v>
      </c>
      <c r="AB31" s="1350">
        <f t="shared" si="4"/>
        <v>1</v>
      </c>
      <c r="AC31" s="1956">
        <f t="shared" si="5"/>
        <v>1</v>
      </c>
    </row>
    <row r="32" spans="1:29" ht="15.75" thickBot="1">
      <c r="A32" s="387"/>
      <c r="B32" s="581">
        <v>111</v>
      </c>
      <c r="C32" s="1905"/>
      <c r="D32" s="389">
        <v>100</v>
      </c>
      <c r="E32" s="574"/>
      <c r="F32" s="389">
        <f>SUMIF(99:99,E32,100:100)-SUMIF(99:99,C32,100:100)+100</f>
        <v>100</v>
      </c>
      <c r="G32" s="1954"/>
      <c r="H32" s="389">
        <f>SUMIF(99:99,G32,100:100)-SUMIF(99:99,C32,100:100)+100</f>
        <v>100</v>
      </c>
      <c r="I32" s="383"/>
      <c r="J32" s="389">
        <f>SUMIF(99:99,I32,100:100)-SUMIF(99:99,C32,100:100)+100</f>
        <v>100</v>
      </c>
      <c r="K32" s="560"/>
      <c r="L32" s="2713"/>
      <c r="M32" s="2707"/>
      <c r="N32" s="2707"/>
      <c r="O32" s="2707"/>
      <c r="P32" s="3734"/>
      <c r="Q32" s="1349">
        <f t="shared" si="11"/>
        <v>111</v>
      </c>
      <c r="R32" s="703" t="s">
        <v>14</v>
      </c>
      <c r="S32" s="704">
        <f t="shared" si="12"/>
        <v>100</v>
      </c>
      <c r="T32" s="703" t="s">
        <v>14</v>
      </c>
      <c r="U32" s="704">
        <f t="shared" si="13"/>
        <v>100</v>
      </c>
      <c r="V32" s="703" t="s">
        <v>14</v>
      </c>
      <c r="W32" s="704">
        <f t="shared" si="14"/>
        <v>100</v>
      </c>
      <c r="X32" s="1352"/>
      <c r="Y32" s="3668"/>
      <c r="Z32" s="1353">
        <f t="shared" si="15"/>
        <v>111</v>
      </c>
      <c r="AA32" s="1350">
        <f t="shared" si="3"/>
        <v>1</v>
      </c>
      <c r="AB32" s="1350">
        <f t="shared" si="4"/>
        <v>1</v>
      </c>
      <c r="AC32" s="1956">
        <f t="shared" si="5"/>
        <v>1</v>
      </c>
    </row>
    <row r="33" spans="1:29" ht="15">
      <c r="A33" s="391" t="s">
        <v>1692</v>
      </c>
      <c r="B33" s="63" t="s">
        <v>1815</v>
      </c>
      <c r="C33" s="1961"/>
      <c r="D33" s="418">
        <v>100</v>
      </c>
      <c r="E33" s="1961"/>
      <c r="F33" s="412">
        <f>SUMIF(101:101,E33,102:102)-SUMIF(101:101,C33,102:102)+100</f>
        <v>100</v>
      </c>
      <c r="G33" s="1961"/>
      <c r="H33" s="386">
        <f>SUMIF(101:101,G33,102:102)-SUMIF(101:101,C33,102:102)+100</f>
        <v>100</v>
      </c>
      <c r="I33" s="1961"/>
      <c r="J33" s="418">
        <f>SUMIF(101:101,I33,102:102)-SUMIF(101:101,C33,102:102)+100</f>
        <v>100</v>
      </c>
      <c r="K33" s="559"/>
      <c r="L33" s="2713"/>
      <c r="M33" s="2707"/>
      <c r="N33" s="2707"/>
      <c r="O33" s="2707"/>
      <c r="P33" s="3729" t="s">
        <v>1694</v>
      </c>
      <c r="Q33" s="1349" t="str">
        <f t="shared" si="11"/>
        <v>建筑类型</v>
      </c>
      <c r="R33" s="703" t="s">
        <v>14</v>
      </c>
      <c r="S33" s="704">
        <f t="shared" si="12"/>
        <v>100</v>
      </c>
      <c r="T33" s="703" t="s">
        <v>14</v>
      </c>
      <c r="U33" s="704">
        <f t="shared" si="13"/>
        <v>100</v>
      </c>
      <c r="V33" s="703" t="s">
        <v>14</v>
      </c>
      <c r="W33" s="704">
        <f t="shared" si="14"/>
        <v>100</v>
      </c>
      <c r="X33" s="1352"/>
      <c r="Y33" s="3670" t="s">
        <v>1694</v>
      </c>
      <c r="Z33" s="1353" t="str">
        <f t="shared" si="15"/>
        <v>建筑类型</v>
      </c>
      <c r="AA33" s="1350">
        <f t="shared" si="3"/>
        <v>1</v>
      </c>
      <c r="AB33" s="1350">
        <f t="shared" si="4"/>
        <v>1</v>
      </c>
      <c r="AC33" s="1956">
        <f t="shared" si="5"/>
        <v>1</v>
      </c>
    </row>
    <row r="34" spans="1:29" s="422" customFormat="1" ht="15">
      <c r="A34" s="419"/>
      <c r="B34" s="375" t="s">
        <v>1695</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0"/>
      <c r="L34" s="2712"/>
      <c r="M34" s="2714"/>
      <c r="N34" s="2714"/>
      <c r="O34" s="2714"/>
      <c r="P34" s="3730"/>
      <c r="Q34" s="705" t="str">
        <f t="shared" si="11"/>
        <v>项目建筑规模</v>
      </c>
      <c r="R34" s="706" t="s">
        <v>14</v>
      </c>
      <c r="S34" s="707" t="e">
        <f t="shared" si="12"/>
        <v>#N/A</v>
      </c>
      <c r="T34" s="706" t="s">
        <v>14</v>
      </c>
      <c r="U34" s="707" t="e">
        <f t="shared" si="13"/>
        <v>#N/A</v>
      </c>
      <c r="V34" s="706" t="s">
        <v>14</v>
      </c>
      <c r="W34" s="707" t="e">
        <f t="shared" si="14"/>
        <v>#N/A</v>
      </c>
      <c r="X34" s="708"/>
      <c r="Y34" s="3670"/>
      <c r="Z34" s="709" t="str">
        <f t="shared" si="15"/>
        <v>项目建筑规模</v>
      </c>
      <c r="AA34" s="1350" t="e">
        <f t="shared" si="3"/>
        <v>#N/A</v>
      </c>
      <c r="AB34" s="1350" t="e">
        <f t="shared" si="4"/>
        <v>#N/A</v>
      </c>
      <c r="AC34" s="1956" t="e">
        <f t="shared" si="5"/>
        <v>#N/A</v>
      </c>
    </row>
    <row r="35" spans="1:29" ht="15">
      <c r="A35" s="423"/>
      <c r="B35" s="375" t="s">
        <v>1696</v>
      </c>
      <c r="C35" s="411"/>
      <c r="D35" s="386">
        <v>100</v>
      </c>
      <c r="E35" s="411"/>
      <c r="F35" s="412">
        <f>SUMIF(106:106,E35,107:107)-SUMIF(106:106,C35,107:107)+100</f>
        <v>100</v>
      </c>
      <c r="G35" s="411"/>
      <c r="H35" s="386">
        <f>SUMIF(106:106,G35,107:107)-SUMIF(106:106,C35,107:107)+100</f>
        <v>100</v>
      </c>
      <c r="I35" s="411"/>
      <c r="J35" s="386">
        <f>SUMIF(106:106,I35,107:107)-SUMIF(106:106,C35,107:107)+100</f>
        <v>100</v>
      </c>
      <c r="K35" s="559"/>
      <c r="L35" s="2713"/>
      <c r="M35" s="2707"/>
      <c r="N35" s="2707"/>
      <c r="O35" s="2707"/>
      <c r="P35" s="3730"/>
      <c r="Q35" s="1349" t="str">
        <f t="shared" si="11"/>
        <v>建筑结构</v>
      </c>
      <c r="R35" s="703" t="s">
        <v>14</v>
      </c>
      <c r="S35" s="704">
        <f t="shared" si="12"/>
        <v>100</v>
      </c>
      <c r="T35" s="703" t="s">
        <v>14</v>
      </c>
      <c r="U35" s="704">
        <f t="shared" si="13"/>
        <v>100</v>
      </c>
      <c r="V35" s="703" t="s">
        <v>14</v>
      </c>
      <c r="W35" s="704">
        <f t="shared" si="14"/>
        <v>100</v>
      </c>
      <c r="X35" s="1352"/>
      <c r="Y35" s="3670"/>
      <c r="Z35" s="1353" t="str">
        <f t="shared" si="15"/>
        <v>建筑结构</v>
      </c>
      <c r="AA35" s="1350">
        <f t="shared" si="3"/>
        <v>1</v>
      </c>
      <c r="AB35" s="1350">
        <f t="shared" si="4"/>
        <v>1</v>
      </c>
      <c r="AC35" s="1956">
        <f t="shared" si="5"/>
        <v>1</v>
      </c>
    </row>
    <row r="36" spans="1:29" ht="15">
      <c r="A36" s="423"/>
      <c r="B36" s="375" t="s">
        <v>1783</v>
      </c>
      <c r="C36" s="411"/>
      <c r="D36" s="386">
        <v>100</v>
      </c>
      <c r="E36" s="411"/>
      <c r="F36" s="412">
        <f>SUMIF(108:108,E36,109:109)-SUMIF(108:108,C36,109:109)+100</f>
        <v>100</v>
      </c>
      <c r="G36" s="411"/>
      <c r="H36" s="386">
        <f>SUMIF(108:108,G36,109:109)-SUMIF(108:108,C36,109:109)+100</f>
        <v>100</v>
      </c>
      <c r="I36" s="411"/>
      <c r="J36" s="386">
        <f>SUMIF(108:108,I36,109:109)-SUMIF(108:108,C36,109:109)+100</f>
        <v>100</v>
      </c>
      <c r="K36" s="559"/>
      <c r="L36" s="2713"/>
      <c r="M36" s="2707"/>
      <c r="N36" s="2707"/>
      <c r="O36" s="2707"/>
      <c r="P36" s="3730"/>
      <c r="Q36" s="1349" t="str">
        <f t="shared" si="11"/>
        <v>公共部分装修</v>
      </c>
      <c r="R36" s="703" t="s">
        <v>14</v>
      </c>
      <c r="S36" s="704">
        <f t="shared" si="12"/>
        <v>100</v>
      </c>
      <c r="T36" s="703" t="s">
        <v>14</v>
      </c>
      <c r="U36" s="704">
        <f t="shared" si="13"/>
        <v>100</v>
      </c>
      <c r="V36" s="703" t="s">
        <v>14</v>
      </c>
      <c r="W36" s="704">
        <f t="shared" si="14"/>
        <v>100</v>
      </c>
      <c r="X36" s="1352"/>
      <c r="Y36" s="3670"/>
      <c r="Z36" s="1353" t="str">
        <f t="shared" si="15"/>
        <v>公共部分装修</v>
      </c>
      <c r="AA36" s="1350">
        <f t="shared" si="3"/>
        <v>1</v>
      </c>
      <c r="AB36" s="1350">
        <f t="shared" si="4"/>
        <v>1</v>
      </c>
      <c r="AC36" s="1956">
        <f t="shared" si="5"/>
        <v>1</v>
      </c>
    </row>
    <row r="37" spans="1:29" ht="15">
      <c r="A37" s="423"/>
      <c r="B37" s="375" t="s">
        <v>1784</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59"/>
      <c r="L37" s="2713"/>
      <c r="M37" s="2707"/>
      <c r="N37" s="2707"/>
      <c r="O37" s="2707"/>
      <c r="P37" s="3730"/>
      <c r="Q37" s="1349" t="str">
        <f t="shared" si="11"/>
        <v>成新度</v>
      </c>
      <c r="R37" s="703" t="s">
        <v>14</v>
      </c>
      <c r="S37" s="704" t="e">
        <f t="shared" si="12"/>
        <v>#N/A</v>
      </c>
      <c r="T37" s="703" t="s">
        <v>14</v>
      </c>
      <c r="U37" s="704" t="e">
        <f t="shared" si="13"/>
        <v>#N/A</v>
      </c>
      <c r="V37" s="703" t="s">
        <v>14</v>
      </c>
      <c r="W37" s="704" t="e">
        <f t="shared" si="14"/>
        <v>#N/A</v>
      </c>
      <c r="X37" s="1352"/>
      <c r="Y37" s="3670"/>
      <c r="Z37" s="1353" t="str">
        <f t="shared" si="15"/>
        <v>成新度</v>
      </c>
      <c r="AA37" s="1350" t="e">
        <f t="shared" si="3"/>
        <v>#N/A</v>
      </c>
      <c r="AB37" s="1350" t="e">
        <f t="shared" si="4"/>
        <v>#N/A</v>
      </c>
      <c r="AC37" s="1956" t="e">
        <f t="shared" si="5"/>
        <v>#N/A</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59"/>
      <c r="L38" s="2708"/>
      <c r="M38" s="2709"/>
      <c r="N38" s="2709"/>
      <c r="O38" s="2709"/>
      <c r="P38" s="3730"/>
      <c r="Q38" s="1340" t="str">
        <f t="shared" si="11"/>
        <v>写字楼等级</v>
      </c>
      <c r="R38" s="699" t="s">
        <v>14</v>
      </c>
      <c r="S38" s="700">
        <f t="shared" si="12"/>
        <v>100</v>
      </c>
      <c r="T38" s="699" t="s">
        <v>14</v>
      </c>
      <c r="U38" s="700">
        <f t="shared" si="13"/>
        <v>100</v>
      </c>
      <c r="V38" s="699" t="s">
        <v>14</v>
      </c>
      <c r="W38" s="700">
        <f t="shared" si="14"/>
        <v>100</v>
      </c>
      <c r="X38" s="701"/>
      <c r="Y38" s="3670"/>
      <c r="Z38" s="52" t="str">
        <f t="shared" si="15"/>
        <v>写字楼等级</v>
      </c>
      <c r="AA38" s="702">
        <f t="shared" si="3"/>
        <v>1</v>
      </c>
      <c r="AB38" s="702">
        <f t="shared" si="4"/>
        <v>1</v>
      </c>
      <c r="AC38" s="1953">
        <f t="shared" si="5"/>
        <v>1</v>
      </c>
    </row>
    <row r="39" spans="1:29" ht="15">
      <c r="A39" s="423"/>
      <c r="B39" s="375" t="s">
        <v>1817</v>
      </c>
      <c r="C39" s="411"/>
      <c r="D39" s="386">
        <v>100</v>
      </c>
      <c r="E39" s="411"/>
      <c r="F39" s="412">
        <f>SUMIF(115:115,E39,116:116)-SUMIF(115:115,C39,116:116)+100</f>
        <v>100</v>
      </c>
      <c r="G39" s="411"/>
      <c r="H39" s="386">
        <f>SUMIF(115:115,G39,116:116)-SUMIF(115:115,C39,116:116)+100</f>
        <v>100</v>
      </c>
      <c r="I39" s="411"/>
      <c r="J39" s="386">
        <f>SUMIF(115:115,I39,116:116)-SUMIF(115:115,C39,116:116)+100</f>
        <v>100</v>
      </c>
      <c r="K39" s="559"/>
      <c r="L39" s="2713"/>
      <c r="M39" s="2707"/>
      <c r="N39" s="2707"/>
      <c r="O39" s="2707"/>
      <c r="P39" s="3730" t="s">
        <v>1694</v>
      </c>
      <c r="Q39" s="1349" t="str">
        <f t="shared" si="11"/>
        <v>物业管理</v>
      </c>
      <c r="R39" s="703" t="s">
        <v>14</v>
      </c>
      <c r="S39" s="704">
        <f t="shared" si="12"/>
        <v>100</v>
      </c>
      <c r="T39" s="703" t="s">
        <v>14</v>
      </c>
      <c r="U39" s="704">
        <f t="shared" si="13"/>
        <v>100</v>
      </c>
      <c r="V39" s="703" t="s">
        <v>14</v>
      </c>
      <c r="W39" s="704">
        <f t="shared" si="14"/>
        <v>100</v>
      </c>
      <c r="X39" s="1352"/>
      <c r="Y39" s="3670" t="s">
        <v>1694</v>
      </c>
      <c r="Z39" s="1353" t="str">
        <f t="shared" si="15"/>
        <v>物业管理</v>
      </c>
      <c r="AA39" s="1350">
        <f t="shared" si="3"/>
        <v>1</v>
      </c>
      <c r="AB39" s="1350">
        <f t="shared" si="4"/>
        <v>1</v>
      </c>
      <c r="AC39" s="1956">
        <f t="shared" si="5"/>
        <v>1</v>
      </c>
    </row>
    <row r="40" spans="1:29" ht="15">
      <c r="A40" s="423"/>
      <c r="B40" s="375" t="s">
        <v>1785</v>
      </c>
      <c r="C40" s="411"/>
      <c r="D40" s="386">
        <v>100</v>
      </c>
      <c r="E40" s="411"/>
      <c r="F40" s="412">
        <f>SUMIF(117:117,E40,118:118)-SUMIF(117:117,C40,118:118)+100</f>
        <v>100</v>
      </c>
      <c r="G40" s="411"/>
      <c r="H40" s="386">
        <f>SUMIF(117:117,G40,118:118)-SUMIF(117:117,C40,118:118)+100</f>
        <v>100</v>
      </c>
      <c r="I40" s="411"/>
      <c r="J40" s="386">
        <f>SUMIF(117:117,I40,118:118)-SUMIF(117:117,C40,118:118)+100</f>
        <v>100</v>
      </c>
      <c r="K40" s="559"/>
      <c r="L40" s="2713"/>
      <c r="M40" s="2707"/>
      <c r="N40" s="2707"/>
      <c r="O40" s="2707"/>
      <c r="P40" s="3730"/>
      <c r="Q40" s="1349" t="str">
        <f t="shared" si="11"/>
        <v>市政基础设施</v>
      </c>
      <c r="R40" s="703" t="s">
        <v>14</v>
      </c>
      <c r="S40" s="704">
        <f t="shared" si="12"/>
        <v>100</v>
      </c>
      <c r="T40" s="703" t="s">
        <v>14</v>
      </c>
      <c r="U40" s="704">
        <f t="shared" si="13"/>
        <v>100</v>
      </c>
      <c r="V40" s="703" t="s">
        <v>14</v>
      </c>
      <c r="W40" s="704">
        <f t="shared" si="14"/>
        <v>100</v>
      </c>
      <c r="X40" s="1352"/>
      <c r="Y40" s="3670"/>
      <c r="Z40" s="1353" t="str">
        <f t="shared" si="15"/>
        <v>市政基础设施</v>
      </c>
      <c r="AA40" s="1350">
        <f t="shared" si="3"/>
        <v>1</v>
      </c>
      <c r="AB40" s="1350">
        <f t="shared" si="4"/>
        <v>1</v>
      </c>
      <c r="AC40" s="1956">
        <f t="shared" si="5"/>
        <v>1</v>
      </c>
    </row>
    <row r="41" spans="1:29" ht="15">
      <c r="A41" s="423"/>
      <c r="B41" s="375" t="s">
        <v>1787</v>
      </c>
      <c r="C41" s="563"/>
      <c r="D41" s="386">
        <v>100</v>
      </c>
      <c r="E41" s="563"/>
      <c r="F41" s="412">
        <f>SUMIF(119:119,E41,120:120)-SUMIF(119:119,C41,120:120)+100</f>
        <v>100</v>
      </c>
      <c r="G41" s="563"/>
      <c r="H41" s="386">
        <f>SUMIF(119:119,G41,120:120)-SUMIF(119:119,C41,120:120)+100</f>
        <v>100</v>
      </c>
      <c r="I41" s="563"/>
      <c r="J41" s="386">
        <f>SUMIF(119:119,I41,120:120)-SUMIF(119:119,C41,120:120)+100</f>
        <v>100</v>
      </c>
      <c r="K41" s="559"/>
      <c r="L41" s="2713"/>
      <c r="M41" s="2707"/>
      <c r="N41" s="2707"/>
      <c r="O41" s="2707"/>
      <c r="P41" s="3730"/>
      <c r="Q41" s="1349" t="str">
        <f t="shared" si="11"/>
        <v>层高</v>
      </c>
      <c r="R41" s="703" t="s">
        <v>14</v>
      </c>
      <c r="S41" s="704">
        <f t="shared" si="12"/>
        <v>100</v>
      </c>
      <c r="T41" s="703" t="s">
        <v>14</v>
      </c>
      <c r="U41" s="704">
        <f t="shared" si="13"/>
        <v>100</v>
      </c>
      <c r="V41" s="703" t="s">
        <v>14</v>
      </c>
      <c r="W41" s="704">
        <f t="shared" si="14"/>
        <v>100</v>
      </c>
      <c r="X41" s="1352"/>
      <c r="Y41" s="3670"/>
      <c r="Z41" s="1353" t="str">
        <f t="shared" si="15"/>
        <v>层高</v>
      </c>
      <c r="AA41" s="1350">
        <f t="shared" si="3"/>
        <v>1</v>
      </c>
      <c r="AB41" s="1350">
        <f t="shared" si="4"/>
        <v>1</v>
      </c>
      <c r="AC41" s="1956">
        <f t="shared" si="5"/>
        <v>1</v>
      </c>
    </row>
    <row r="42" spans="1:29" s="422" customFormat="1" ht="15">
      <c r="A42" s="419"/>
      <c r="B42" s="1351"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0"/>
      <c r="L42" s="2712"/>
      <c r="M42" s="2714"/>
      <c r="N42" s="2714"/>
      <c r="O42" s="2714"/>
      <c r="P42" s="3730"/>
      <c r="Q42" s="705" t="str">
        <f t="shared" si="11"/>
        <v>单套建筑面积</v>
      </c>
      <c r="R42" s="706" t="s">
        <v>14</v>
      </c>
      <c r="S42" s="707">
        <f t="shared" si="12"/>
        <v>100</v>
      </c>
      <c r="T42" s="706" t="s">
        <v>14</v>
      </c>
      <c r="U42" s="707">
        <f t="shared" si="13"/>
        <v>100</v>
      </c>
      <c r="V42" s="706" t="s">
        <v>14</v>
      </c>
      <c r="W42" s="707">
        <f t="shared" si="14"/>
        <v>100</v>
      </c>
      <c r="X42" s="708"/>
      <c r="Y42" s="3670"/>
      <c r="Z42" s="709" t="str">
        <f t="shared" si="15"/>
        <v>单套建筑面积</v>
      </c>
      <c r="AA42" s="1350">
        <f t="shared" si="3"/>
        <v>1</v>
      </c>
      <c r="AB42" s="1350">
        <f t="shared" si="4"/>
        <v>1</v>
      </c>
      <c r="AC42" s="1956">
        <f t="shared" si="5"/>
        <v>1</v>
      </c>
    </row>
    <row r="43" spans="1:29" ht="15">
      <c r="A43" s="423"/>
      <c r="B43" s="375" t="s">
        <v>1790</v>
      </c>
      <c r="C43" s="411"/>
      <c r="D43" s="386">
        <v>100</v>
      </c>
      <c r="E43" s="411"/>
      <c r="F43" s="412">
        <f>SUMIF(123:123,E43,124:124)-SUMIF(123:123,C43,124:124)+100</f>
        <v>100</v>
      </c>
      <c r="G43" s="411"/>
      <c r="H43" s="386">
        <f>SUMIF(123:123,G43,124:124)-SUMIF(123:123,C43,124:124)+100</f>
        <v>100</v>
      </c>
      <c r="I43" s="411"/>
      <c r="J43" s="386">
        <f>SUMIF(123:123,I43,124:124)-SUMIF(123:123,C43,124:124)+100</f>
        <v>100</v>
      </c>
      <c r="K43" s="559"/>
      <c r="L43" s="2713"/>
      <c r="M43" s="2707"/>
      <c r="N43" s="2707"/>
      <c r="O43" s="2707"/>
      <c r="P43" s="3730"/>
      <c r="Q43" s="1349" t="str">
        <f t="shared" si="11"/>
        <v>内部装修</v>
      </c>
      <c r="R43" s="703" t="s">
        <v>14</v>
      </c>
      <c r="S43" s="704">
        <f t="shared" si="12"/>
        <v>100</v>
      </c>
      <c r="T43" s="703" t="s">
        <v>14</v>
      </c>
      <c r="U43" s="704">
        <f t="shared" si="13"/>
        <v>100</v>
      </c>
      <c r="V43" s="703" t="s">
        <v>14</v>
      </c>
      <c r="W43" s="704">
        <f t="shared" si="14"/>
        <v>100</v>
      </c>
      <c r="X43" s="1352"/>
      <c r="Y43" s="3670"/>
      <c r="Z43" s="1353" t="str">
        <f t="shared" si="15"/>
        <v>内部装修</v>
      </c>
      <c r="AA43" s="1350">
        <f t="shared" si="3"/>
        <v>1</v>
      </c>
      <c r="AB43" s="1350">
        <f t="shared" si="4"/>
        <v>1</v>
      </c>
      <c r="AC43" s="1956">
        <f t="shared" si="5"/>
        <v>1</v>
      </c>
    </row>
    <row r="44" spans="1:29" ht="15">
      <c r="A44" s="423"/>
      <c r="B44" s="375" t="s">
        <v>1705</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59"/>
      <c r="L44" s="2713"/>
      <c r="M44" s="2707"/>
      <c r="N44" s="2707"/>
      <c r="O44" s="2707"/>
      <c r="P44" s="3730"/>
      <c r="Q44" s="1349" t="str">
        <f t="shared" si="11"/>
        <v>内部装修维护情况</v>
      </c>
      <c r="R44" s="703" t="s">
        <v>14</v>
      </c>
      <c r="S44" s="704">
        <f t="shared" si="12"/>
        <v>100</v>
      </c>
      <c r="T44" s="703" t="s">
        <v>14</v>
      </c>
      <c r="U44" s="704">
        <f t="shared" si="13"/>
        <v>100</v>
      </c>
      <c r="V44" s="703" t="s">
        <v>14</v>
      </c>
      <c r="W44" s="704">
        <f t="shared" si="14"/>
        <v>100</v>
      </c>
      <c r="X44" s="1352"/>
      <c r="Y44" s="3670"/>
      <c r="Z44" s="1353" t="str">
        <f t="shared" si="15"/>
        <v>内部装修维护情况</v>
      </c>
      <c r="AA44" s="1350">
        <f t="shared" si="3"/>
        <v>1</v>
      </c>
      <c r="AB44" s="1350">
        <f t="shared" si="4"/>
        <v>1</v>
      </c>
      <c r="AC44" s="1956">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0"/>
      <c r="L45" s="2708"/>
      <c r="M45" s="2709"/>
      <c r="N45" s="2709"/>
      <c r="O45" s="2709"/>
      <c r="P45" s="3730"/>
      <c r="Q45" s="1340">
        <f t="shared" si="11"/>
        <v>111</v>
      </c>
      <c r="R45" s="699" t="s">
        <v>14</v>
      </c>
      <c r="S45" s="700">
        <f t="shared" si="12"/>
        <v>100</v>
      </c>
      <c r="T45" s="699" t="s">
        <v>14</v>
      </c>
      <c r="U45" s="700">
        <f t="shared" si="13"/>
        <v>100</v>
      </c>
      <c r="V45" s="699" t="s">
        <v>14</v>
      </c>
      <c r="W45" s="700">
        <f t="shared" si="14"/>
        <v>100</v>
      </c>
      <c r="X45" s="701"/>
      <c r="Y45" s="3670"/>
      <c r="Z45" s="52">
        <f t="shared" si="15"/>
        <v>111</v>
      </c>
      <c r="AA45" s="702">
        <f t="shared" si="3"/>
        <v>1</v>
      </c>
      <c r="AB45" s="702">
        <f t="shared" si="4"/>
        <v>1</v>
      </c>
      <c r="AC45" s="1953">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0"/>
      <c r="L46" s="2713"/>
      <c r="M46" s="2707"/>
      <c r="N46" s="2707"/>
      <c r="O46" s="2707"/>
      <c r="P46" s="3730"/>
      <c r="Q46" s="1349">
        <f t="shared" si="11"/>
        <v>111</v>
      </c>
      <c r="R46" s="703" t="s">
        <v>14</v>
      </c>
      <c r="S46" s="704">
        <f t="shared" si="12"/>
        <v>100</v>
      </c>
      <c r="T46" s="703" t="s">
        <v>14</v>
      </c>
      <c r="U46" s="704">
        <f t="shared" si="13"/>
        <v>100</v>
      </c>
      <c r="V46" s="703" t="s">
        <v>14</v>
      </c>
      <c r="W46" s="704">
        <f t="shared" si="14"/>
        <v>100</v>
      </c>
      <c r="X46" s="1352"/>
      <c r="Y46" s="3670"/>
      <c r="Z46" s="1353">
        <f t="shared" si="15"/>
        <v>111</v>
      </c>
      <c r="AA46" s="1350">
        <f t="shared" si="3"/>
        <v>1</v>
      </c>
      <c r="AB46" s="1350">
        <f t="shared" si="4"/>
        <v>1</v>
      </c>
      <c r="AC46" s="1956">
        <f t="shared" si="5"/>
        <v>1</v>
      </c>
    </row>
    <row r="47" spans="1:29" ht="15.75" thickBot="1">
      <c r="A47" s="427"/>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0"/>
      <c r="L47" s="2713"/>
      <c r="M47" s="2707"/>
      <c r="N47" s="2707"/>
      <c r="O47" s="2707"/>
      <c r="P47" s="3731"/>
      <c r="Q47" s="1349">
        <f t="shared" si="11"/>
        <v>111</v>
      </c>
      <c r="R47" s="703" t="s">
        <v>14</v>
      </c>
      <c r="S47" s="704">
        <f t="shared" si="12"/>
        <v>100</v>
      </c>
      <c r="T47" s="703" t="s">
        <v>14</v>
      </c>
      <c r="U47" s="704">
        <f t="shared" si="13"/>
        <v>100</v>
      </c>
      <c r="V47" s="703" t="s">
        <v>14</v>
      </c>
      <c r="W47" s="704">
        <f t="shared" si="14"/>
        <v>100</v>
      </c>
      <c r="X47" s="1352"/>
      <c r="Y47" s="3732"/>
      <c r="Z47" s="1353">
        <f t="shared" si="15"/>
        <v>111</v>
      </c>
      <c r="AA47" s="1350">
        <f t="shared" si="3"/>
        <v>1</v>
      </c>
      <c r="AB47" s="1350">
        <f t="shared" si="4"/>
        <v>1</v>
      </c>
      <c r="AC47" s="1956">
        <f t="shared" si="5"/>
        <v>1</v>
      </c>
    </row>
    <row r="48" spans="1:29" ht="15">
      <c r="A48" s="428" t="s">
        <v>1706</v>
      </c>
      <c r="B48" s="429"/>
      <c r="C48" s="1152" t="s">
        <v>0</v>
      </c>
      <c r="D48" s="1153"/>
      <c r="E48" s="1154"/>
      <c r="F48" s="1155"/>
      <c r="G48" s="1156"/>
      <c r="H48" s="1157"/>
      <c r="I48" s="1154"/>
      <c r="J48" s="434"/>
      <c r="K48" s="712"/>
      <c r="L48" s="2715"/>
      <c r="M48" s="2707"/>
      <c r="N48" s="2707"/>
      <c r="O48" s="2707"/>
      <c r="P48" s="3665" t="str">
        <f>A48</f>
        <v>成交单价（元/平方米）</v>
      </c>
      <c r="Q48" s="3666"/>
      <c r="R48" s="3728">
        <f>E48</f>
        <v>0</v>
      </c>
      <c r="S48" s="3728"/>
      <c r="T48" s="3728">
        <f>G48</f>
        <v>0</v>
      </c>
      <c r="U48" s="3728"/>
      <c r="V48" s="3728">
        <f>I48</f>
        <v>0</v>
      </c>
      <c r="W48" s="3728"/>
      <c r="X48" s="397"/>
      <c r="Y48" s="710"/>
      <c r="Z48" s="397"/>
      <c r="AA48" s="397"/>
      <c r="AB48" s="397"/>
      <c r="AC48" s="576"/>
    </row>
    <row r="49" spans="1:29" ht="15.75" thickBot="1">
      <c r="A49" s="435" t="s">
        <v>1791</v>
      </c>
      <c r="B49" s="436"/>
      <c r="C49" s="1158" t="e">
        <f>R50</f>
        <v>#DIV/0!</v>
      </c>
      <c r="D49" s="2311" t="s">
        <v>2136</v>
      </c>
      <c r="E49" s="1159" t="e">
        <f>R49</f>
        <v>#DIV/0!</v>
      </c>
      <c r="F49" s="2312"/>
      <c r="G49" s="1158" t="e">
        <f>T49</f>
        <v>#DIV/0!</v>
      </c>
      <c r="H49" s="2312"/>
      <c r="I49" s="1159" t="e">
        <f>V49</f>
        <v>#DIV/0!</v>
      </c>
      <c r="J49" s="2312"/>
      <c r="K49" s="2314">
        <f>F49+H49+J49</f>
        <v>0</v>
      </c>
      <c r="L49" s="2715"/>
      <c r="M49" s="2707"/>
      <c r="N49" s="2707"/>
      <c r="O49" s="2707"/>
      <c r="P49" s="3665" t="str">
        <f>A49</f>
        <v>比较价值（元/平方米）</v>
      </c>
      <c r="Q49" s="3666"/>
      <c r="R49" s="3728" t="e">
        <f>IF(F1="售价",ROUND(PRODUCT(R48,AA7:AA47),0),ROUND(PRODUCT(R48,AA7:AA47),1))</f>
        <v>#DIV/0!</v>
      </c>
      <c r="S49" s="3728"/>
      <c r="T49" s="3728" t="e">
        <f>IF(F1="售价",ROUND(PRODUCT(T48,AB7:AB47),0),ROUND(PRODUCT(T48,AB7:AB47),1))</f>
        <v>#DIV/0!</v>
      </c>
      <c r="U49" s="3728"/>
      <c r="V49" s="3728" t="e">
        <f>IF(F1="售价",ROUND(PRODUCT(V48,AC7:AC47),0),ROUND(PRODUCT(V48,AC7:AC47),1))</f>
        <v>#DIV/0!</v>
      </c>
      <c r="W49" s="3728"/>
      <c r="X49" s="397"/>
      <c r="Y49" s="397"/>
      <c r="Z49" s="397"/>
      <c r="AA49" s="397"/>
      <c r="AB49" s="397"/>
      <c r="AC49" s="576"/>
    </row>
    <row r="50" spans="1:29" ht="15.75" thickBot="1">
      <c r="A50" s="439" t="s">
        <v>1792</v>
      </c>
      <c r="B50" s="440"/>
      <c r="C50" s="1161" t="e">
        <f>R50</f>
        <v>#DIV/0!</v>
      </c>
      <c r="D50" s="1161"/>
      <c r="E50" s="1161"/>
      <c r="F50" s="1161"/>
      <c r="G50" s="1161"/>
      <c r="H50" s="1161"/>
      <c r="I50" s="1161"/>
      <c r="J50" s="441"/>
      <c r="K50" s="713"/>
      <c r="L50" s="2715"/>
      <c r="M50" s="2707"/>
      <c r="N50" s="2707"/>
      <c r="O50" s="2707"/>
      <c r="P50" s="3736" t="str">
        <f>A50</f>
        <v>估价对象XX用房的比较价值（楼面单价，元/平方米）</v>
      </c>
      <c r="Q50" s="3737"/>
      <c r="R50" s="3738" t="e">
        <f>IF(F1="售价",ROUND(IF(D49="简单平均",AVERAGE(R49:V49),R49*F49+T49*H49+V49*J49),0),ROUND(IF(D49="简单平均",AVERAGE(R49:V49),R49*F49+T49*H49+V49*J49),1))</f>
        <v>#DIV/0!</v>
      </c>
      <c r="S50" s="3738"/>
      <c r="T50" s="3738"/>
      <c r="U50" s="3738"/>
      <c r="V50" s="3738"/>
      <c r="W50" s="3738"/>
      <c r="X50" s="1940"/>
      <c r="Y50" s="1940"/>
      <c r="Z50" s="1940"/>
      <c r="AA50" s="1940"/>
      <c r="AB50" s="1940"/>
      <c r="AC50" s="1941"/>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4" t="s">
        <v>1793</v>
      </c>
      <c r="D53" s="445"/>
      <c r="E53" s="446" t="e">
        <f>IF(E48&lt;E49,E49/E48-1,E48/E49-1)</f>
        <v>#DIV/0!</v>
      </c>
      <c r="F53" s="447" t="e">
        <f>IF(OR(E53&gt;=0.3,E53&lt;=-0.3),"超过30%","")</f>
        <v>#DIV/0!</v>
      </c>
      <c r="G53" s="446" t="e">
        <f>IF(G48&lt;G49,G49/G48-1,G48/G49-1)</f>
        <v>#DIV/0!</v>
      </c>
      <c r="H53" s="447" t="e">
        <f>IF(OR(G53&gt;=0.3,G53&lt;=-0.3),"超过30%","")</f>
        <v>#DIV/0!</v>
      </c>
      <c r="I53" s="446" t="e">
        <f>IF(I48&lt;I49,I49/I48-1,I48/I49-1)</f>
        <v>#DIV/0!</v>
      </c>
      <c r="J53" s="447" t="e">
        <f>IF(OR(I53&gt;=0.3,I53&lt;=-0.3),"超过30%","")</f>
        <v>#DIV/0!</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4" t="s">
        <v>1794</v>
      </c>
      <c r="D54" s="448"/>
      <c r="E54" s="446" t="e">
        <f>IF(E49&lt;G49,G49/E49-1,E49/G49-1)</f>
        <v>#DIV/0!</v>
      </c>
      <c r="F54" s="447" t="e">
        <f>IF(OR(E54&gt;=0.2,E54&lt;=-0.2),"超过20%","")</f>
        <v>#DIV/0!</v>
      </c>
      <c r="G54" s="446" t="e">
        <f>IF(G49&lt;I49,I49/G49-1,G49/I49-1)</f>
        <v>#DIV/0!</v>
      </c>
      <c r="H54" s="447" t="e">
        <f>IF(OR(G54&gt;=0.2,G54&lt;=-0.2),"超过20%","")</f>
        <v>#DIV/0!</v>
      </c>
      <c r="I54" s="446" t="e">
        <f>IF(I49&lt;E49,E49/I49-1,I49/E49-1)</f>
        <v>#DIV/0!</v>
      </c>
      <c r="J54" s="447" t="e">
        <f>IF(OR(I54&gt;=0.2,I54&lt;=-0.2),"超过20%","")</f>
        <v>#DIV/0!</v>
      </c>
      <c r="K54" s="2721"/>
      <c r="L54" s="2717"/>
      <c r="M54" s="2716"/>
      <c r="N54" s="2716"/>
      <c r="O54" s="2716"/>
      <c r="P54" s="2747"/>
      <c r="Q54" s="2716"/>
      <c r="R54" s="2716"/>
      <c r="S54" s="2716"/>
      <c r="T54" s="2716"/>
      <c r="U54" s="2716"/>
      <c r="V54" s="2716"/>
      <c r="W54" s="2716"/>
      <c r="X54" s="2716"/>
      <c r="Y54" s="2716"/>
      <c r="Z54" s="2716"/>
      <c r="AA54" s="2716"/>
      <c r="AB54" s="2716"/>
      <c r="AC54" s="2716"/>
    </row>
    <row r="55" spans="1:29" s="449" customFormat="1" ht="13.5" customHeight="1">
      <c r="A55" s="2719"/>
      <c r="B55" s="2719"/>
      <c r="C55" s="444" t="s">
        <v>1795</v>
      </c>
      <c r="D55" s="448"/>
      <c r="E55" s="446" t="e">
        <f>IF(E48&lt;G48,G48/E48-1,E48/G48-1)</f>
        <v>#DIV/0!</v>
      </c>
      <c r="F55" s="447" t="e">
        <f>IF(OR(E55&gt;=0.3,E55&lt;=-0.3),"超过30%","")</f>
        <v>#DIV/0!</v>
      </c>
      <c r="G55" s="446" t="e">
        <f>IF(G48&lt;I48,I48/G48-1,G48/I48-1)</f>
        <v>#DIV/0!</v>
      </c>
      <c r="H55" s="447" t="e">
        <f>IF(OR(G55&gt;=0.3,G55&lt;=-0.3),"超过30%","")</f>
        <v>#DIV/0!</v>
      </c>
      <c r="I55" s="446" t="e">
        <f>IF(I48&lt;E48,E48/I48-1,I48/E48-1)</f>
        <v>#DIV/0!</v>
      </c>
      <c r="J55" s="447"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49"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2" t="s">
        <v>1796</v>
      </c>
      <c r="B58" s="688"/>
      <c r="C58" s="693"/>
      <c r="D58" s="693"/>
      <c r="E58" s="693"/>
      <c r="F58" s="694"/>
      <c r="G58" s="694"/>
      <c r="H58" s="693"/>
      <c r="I58" s="693"/>
      <c r="J58" s="693"/>
      <c r="K58" s="695"/>
      <c r="L58" s="940"/>
      <c r="M58" s="938"/>
      <c r="N58" s="2760"/>
      <c r="O58" s="2760"/>
      <c r="P58" s="2749"/>
      <c r="Q58" s="2730"/>
      <c r="R58" s="2716"/>
      <c r="S58" s="2716"/>
      <c r="T58" s="2716"/>
      <c r="U58" s="2716"/>
      <c r="V58" s="2716"/>
      <c r="W58" s="2716"/>
      <c r="X58" s="2716"/>
      <c r="Y58" s="2716"/>
      <c r="Z58" s="2716"/>
      <c r="AA58" s="2716"/>
      <c r="AB58" s="2716"/>
      <c r="AC58" s="2716"/>
    </row>
    <row r="59" spans="1:29" s="455" customFormat="1" ht="15">
      <c r="A59" s="452" t="s">
        <v>1677</v>
      </c>
      <c r="B59" s="453"/>
      <c r="C59" s="1181" t="str">
        <f>YEAR(C7)&amp;"-"&amp;MONTH(C7)</f>
        <v>2024-10</v>
      </c>
      <c r="D59" s="1182">
        <f>EDATE(C59,-1)</f>
        <v>45536</v>
      </c>
      <c r="E59" s="1182">
        <f>EDATE(D59,-1)</f>
        <v>45505</v>
      </c>
      <c r="F59" s="1182">
        <f t="shared" ref="F59:O59" si="16">EDATE(E59,-1)</f>
        <v>45474</v>
      </c>
      <c r="G59" s="1182">
        <f t="shared" si="16"/>
        <v>45444</v>
      </c>
      <c r="H59" s="1182">
        <f t="shared" si="16"/>
        <v>45413</v>
      </c>
      <c r="I59" s="1182">
        <f t="shared" si="16"/>
        <v>45383</v>
      </c>
      <c r="J59" s="1182">
        <f t="shared" si="16"/>
        <v>45352</v>
      </c>
      <c r="K59" s="1182">
        <f t="shared" si="16"/>
        <v>45323</v>
      </c>
      <c r="L59" s="1182">
        <f t="shared" si="16"/>
        <v>45292</v>
      </c>
      <c r="M59" s="1182">
        <f t="shared" si="16"/>
        <v>45261</v>
      </c>
      <c r="N59" s="1182">
        <f t="shared" si="16"/>
        <v>45231</v>
      </c>
      <c r="O59" s="1182">
        <f t="shared" si="16"/>
        <v>45200</v>
      </c>
      <c r="P59" s="2750"/>
      <c r="Q59" s="2732"/>
      <c r="R59" s="2732"/>
      <c r="S59" s="2732"/>
      <c r="T59" s="2732"/>
      <c r="U59" s="2732"/>
      <c r="V59" s="2732"/>
      <c r="W59" s="2732"/>
      <c r="X59" s="2732"/>
      <c r="Y59" s="2732"/>
      <c r="Z59" s="2732"/>
      <c r="AA59" s="2732"/>
      <c r="AB59" s="2732"/>
      <c r="AC59" s="2732"/>
    </row>
    <row r="60" spans="1:29" s="108" customFormat="1" ht="15">
      <c r="A60" s="456"/>
      <c r="B60" s="457"/>
      <c r="C60" s="1180">
        <v>100</v>
      </c>
      <c r="D60" s="459"/>
      <c r="E60" s="459"/>
      <c r="F60" s="459"/>
      <c r="G60" s="459"/>
      <c r="H60" s="459"/>
      <c r="I60" s="459"/>
      <c r="J60" s="459"/>
      <c r="K60" s="459"/>
      <c r="L60" s="459"/>
      <c r="M60" s="460"/>
      <c r="N60" s="459"/>
      <c r="O60" s="460"/>
      <c r="P60" s="2751"/>
      <c r="Q60" s="2652"/>
      <c r="R60" s="2652"/>
      <c r="S60" s="2652"/>
      <c r="T60" s="2652"/>
      <c r="U60" s="2652"/>
      <c r="V60" s="2652"/>
      <c r="W60" s="2652"/>
      <c r="X60" s="2652"/>
      <c r="Y60" s="2652"/>
      <c r="Z60" s="2652"/>
      <c r="AA60" s="2652"/>
      <c r="AB60" s="2652"/>
      <c r="AC60" s="2652"/>
    </row>
    <row r="61" spans="1:29" s="108" customFormat="1" ht="15.75" thickBot="1">
      <c r="A61" s="462" t="s">
        <v>1714</v>
      </c>
      <c r="B61" s="463"/>
      <c r="C61" s="464"/>
      <c r="D61" s="465"/>
      <c r="E61" s="465"/>
      <c r="F61" s="465"/>
      <c r="G61" s="465"/>
      <c r="H61" s="465"/>
      <c r="I61" s="465"/>
      <c r="J61" s="465"/>
      <c r="K61" s="465"/>
      <c r="L61" s="465"/>
      <c r="M61" s="466"/>
      <c r="N61" s="465"/>
      <c r="O61" s="466"/>
      <c r="P61" s="2751"/>
      <c r="Q61" s="2730"/>
      <c r="R61" s="2652"/>
      <c r="S61" s="2652"/>
      <c r="T61" s="2652"/>
      <c r="U61" s="2652"/>
      <c r="V61" s="2652"/>
      <c r="W61" s="2652"/>
      <c r="X61" s="2652"/>
      <c r="Y61" s="2652"/>
      <c r="Z61" s="2652"/>
      <c r="AA61" s="2652"/>
      <c r="AB61" s="2652"/>
      <c r="AC61" s="2652"/>
    </row>
    <row r="62" spans="1:29" s="108" customFormat="1" ht="15">
      <c r="A62" s="468" t="s">
        <v>1679</v>
      </c>
      <c r="B62" s="457"/>
      <c r="C62" s="469" t="s">
        <v>1774</v>
      </c>
      <c r="D62" s="470"/>
      <c r="E62" s="470"/>
      <c r="F62" s="470"/>
      <c r="G62" s="470"/>
      <c r="H62" s="470"/>
      <c r="I62" s="470"/>
      <c r="J62" s="470"/>
      <c r="K62" s="470"/>
      <c r="L62" s="471"/>
      <c r="M62" s="472"/>
      <c r="N62" s="2743"/>
      <c r="O62" s="2743"/>
      <c r="P62" s="2752"/>
      <c r="Q62" s="2730"/>
      <c r="R62" s="2652"/>
      <c r="S62" s="2652"/>
      <c r="T62" s="2652"/>
      <c r="U62" s="2652"/>
      <c r="V62" s="2652"/>
      <c r="W62" s="2652"/>
      <c r="X62" s="2652"/>
      <c r="Y62" s="2652"/>
      <c r="Z62" s="2652"/>
      <c r="AA62" s="2652"/>
      <c r="AB62" s="2652"/>
      <c r="AC62" s="2652"/>
    </row>
    <row r="63" spans="1:29" s="108" customFormat="1" ht="15.75" thickBot="1">
      <c r="A63" s="468"/>
      <c r="B63" s="457"/>
      <c r="C63" s="458">
        <v>100</v>
      </c>
      <c r="D63" s="459"/>
      <c r="E63" s="459"/>
      <c r="F63" s="459"/>
      <c r="G63" s="459"/>
      <c r="H63" s="459"/>
      <c r="I63" s="459"/>
      <c r="J63" s="459"/>
      <c r="K63" s="459"/>
      <c r="L63" s="459"/>
      <c r="M63" s="461"/>
      <c r="N63" s="2743"/>
      <c r="O63" s="2743"/>
      <c r="P63" s="2751"/>
      <c r="Q63" s="2730"/>
      <c r="R63" s="2652"/>
      <c r="S63" s="2652"/>
      <c r="T63" s="2652"/>
      <c r="U63" s="2652"/>
      <c r="V63" s="2652"/>
      <c r="W63" s="2652"/>
      <c r="X63" s="2652"/>
      <c r="Y63" s="2652"/>
      <c r="Z63" s="2652"/>
      <c r="AA63" s="2652"/>
      <c r="AB63" s="2652"/>
      <c r="AC63" s="2652"/>
    </row>
    <row r="64" spans="1:29">
      <c r="A64" s="474" t="s">
        <v>1717</v>
      </c>
      <c r="B64" s="475" t="s">
        <v>1683</v>
      </c>
      <c r="C64" s="476">
        <f>C9</f>
        <v>0</v>
      </c>
      <c r="D64" s="477"/>
      <c r="E64" s="477"/>
      <c r="F64" s="477"/>
      <c r="G64" s="477"/>
      <c r="H64" s="477"/>
      <c r="I64" s="477"/>
      <c r="J64" s="477"/>
      <c r="K64" s="478"/>
      <c r="L64" s="479"/>
      <c r="M64" s="480"/>
      <c r="N64" s="2744"/>
      <c r="O64" s="2744"/>
      <c r="P64" s="2753"/>
      <c r="Q64" s="2730"/>
      <c r="R64" s="2716"/>
      <c r="S64" s="2716"/>
      <c r="T64" s="2716"/>
      <c r="U64" s="2716"/>
      <c r="V64" s="2716"/>
      <c r="W64" s="2716"/>
      <c r="X64" s="2716"/>
      <c r="Y64" s="2716"/>
      <c r="Z64" s="2716"/>
      <c r="AA64" s="2716"/>
      <c r="AB64" s="2716"/>
      <c r="AC64" s="2716"/>
    </row>
    <row r="65" spans="1:29" ht="15.75" thickBot="1">
      <c r="A65" s="481"/>
      <c r="B65" s="482"/>
      <c r="C65" s="483">
        <v>100</v>
      </c>
      <c r="D65" s="483"/>
      <c r="E65" s="483"/>
      <c r="F65" s="483"/>
      <c r="G65" s="483"/>
      <c r="H65" s="483"/>
      <c r="I65" s="483"/>
      <c r="J65" s="483"/>
      <c r="K65" s="483"/>
      <c r="L65" s="483"/>
      <c r="M65" s="484"/>
      <c r="N65" s="2745"/>
      <c r="O65" s="2745"/>
      <c r="P65" s="2753"/>
      <c r="Q65" s="2730"/>
      <c r="R65" s="2716"/>
      <c r="S65" s="2716"/>
      <c r="T65" s="2716"/>
      <c r="U65" s="2716"/>
      <c r="V65" s="2716"/>
      <c r="W65" s="2716"/>
      <c r="X65" s="2716"/>
      <c r="Y65" s="2716"/>
      <c r="Z65" s="2716"/>
      <c r="AA65" s="2716"/>
      <c r="AB65" s="2716"/>
      <c r="AC65" s="2716"/>
    </row>
    <row r="66" spans="1:29" ht="27.75" thickTop="1">
      <c r="A66" s="481"/>
      <c r="B66" s="485" t="s">
        <v>1686</v>
      </c>
      <c r="C66" s="530"/>
      <c r="D66" s="530"/>
      <c r="E66" s="530"/>
      <c r="F66" s="530"/>
      <c r="G66" s="530"/>
      <c r="H66" s="530"/>
      <c r="I66" s="530"/>
      <c r="J66" s="530"/>
      <c r="K66" s="531"/>
      <c r="L66" s="532"/>
      <c r="M66" s="533"/>
      <c r="N66" s="2744"/>
      <c r="O66" s="2744"/>
      <c r="P66" s="2753"/>
      <c r="Q66" s="2730"/>
      <c r="R66" s="2716"/>
      <c r="S66" s="2716"/>
      <c r="T66" s="2716"/>
      <c r="U66" s="2716"/>
      <c r="V66" s="2716"/>
      <c r="W66" s="2716"/>
      <c r="X66" s="2716"/>
      <c r="Y66" s="2716"/>
      <c r="Z66" s="2716"/>
      <c r="AA66" s="2716"/>
      <c r="AB66" s="2716"/>
      <c r="AC66" s="2716"/>
    </row>
    <row r="67" spans="1:29" ht="15.75" thickBot="1">
      <c r="A67" s="481"/>
      <c r="B67" s="490"/>
      <c r="C67" s="483"/>
      <c r="D67" s="483"/>
      <c r="E67" s="483"/>
      <c r="F67" s="483"/>
      <c r="G67" s="483"/>
      <c r="H67" s="483"/>
      <c r="I67" s="483"/>
      <c r="J67" s="483"/>
      <c r="K67" s="483"/>
      <c r="L67" s="483"/>
      <c r="M67" s="484"/>
      <c r="N67" s="2745"/>
      <c r="O67" s="2745"/>
      <c r="P67" s="2753"/>
      <c r="Q67" s="2730"/>
      <c r="R67" s="2716"/>
      <c r="S67" s="2716"/>
      <c r="T67" s="2716"/>
      <c r="U67" s="2716"/>
      <c r="V67" s="2716"/>
      <c r="W67" s="2716"/>
      <c r="X67" s="2716"/>
      <c r="Y67" s="2716"/>
      <c r="Z67" s="2716"/>
      <c r="AA67" s="2716"/>
      <c r="AB67" s="2716"/>
      <c r="AC67" s="2716"/>
    </row>
    <row r="68" spans="1:29" ht="15.75" thickTop="1">
      <c r="A68" s="481"/>
      <c r="B68" s="493" t="s">
        <v>1687</v>
      </c>
      <c r="C68" s="494" t="str">
        <f>C69&amp;"（含）"&amp;"-"&amp;D69</f>
        <v>0（含）-3</v>
      </c>
      <c r="D68" s="494" t="str">
        <f t="shared" ref="D68:L68" si="17">D69&amp;"（含）"&amp;"-"&amp;E69</f>
        <v>3（含）-</v>
      </c>
      <c r="E68" s="494" t="str">
        <f t="shared" si="17"/>
        <v>（含）-</v>
      </c>
      <c r="F68" s="494" t="str">
        <f t="shared" si="17"/>
        <v>（含）-</v>
      </c>
      <c r="G68" s="494" t="str">
        <f t="shared" si="17"/>
        <v>（含）-</v>
      </c>
      <c r="H68" s="494" t="str">
        <f t="shared" si="17"/>
        <v>（含）-</v>
      </c>
      <c r="I68" s="494" t="str">
        <f t="shared" si="17"/>
        <v>（含）-</v>
      </c>
      <c r="J68" s="494" t="str">
        <f t="shared" si="17"/>
        <v>（含）-</v>
      </c>
      <c r="K68" s="494" t="str">
        <f t="shared" si="17"/>
        <v>（含）-</v>
      </c>
      <c r="L68" s="494"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1"/>
      <c r="B69" s="495"/>
      <c r="C69" s="496">
        <v>0</v>
      </c>
      <c r="D69" s="496">
        <v>3</v>
      </c>
      <c r="E69" s="496"/>
      <c r="F69" s="496"/>
      <c r="G69" s="496"/>
      <c r="H69" s="496"/>
      <c r="I69" s="496"/>
      <c r="J69" s="496"/>
      <c r="K69" s="497"/>
      <c r="L69" s="498"/>
      <c r="M69" s="499"/>
      <c r="N69" s="2744"/>
      <c r="O69" s="2744"/>
      <c r="P69" s="2753"/>
      <c r="Q69" s="2730"/>
      <c r="R69" s="2716"/>
      <c r="S69" s="2716"/>
      <c r="T69" s="2716"/>
      <c r="U69" s="2716"/>
      <c r="V69" s="2716"/>
      <c r="W69" s="2716"/>
      <c r="X69" s="2716"/>
      <c r="Y69" s="2716"/>
      <c r="Z69" s="2716"/>
      <c r="AA69" s="2716"/>
      <c r="AB69" s="2716"/>
      <c r="AC69" s="2716"/>
    </row>
    <row r="70" spans="1:29" ht="15.75" thickBot="1">
      <c r="A70" s="481"/>
      <c r="B70" s="482"/>
      <c r="C70" s="491">
        <v>100</v>
      </c>
      <c r="D70" s="491">
        <f t="shared" ref="D70:M70" si="18">C70-$K11</f>
        <v>100</v>
      </c>
      <c r="E70" s="491">
        <f t="shared" si="18"/>
        <v>100</v>
      </c>
      <c r="F70" s="491">
        <f t="shared" si="18"/>
        <v>100</v>
      </c>
      <c r="G70" s="491">
        <f t="shared" si="18"/>
        <v>100</v>
      </c>
      <c r="H70" s="491">
        <f t="shared" si="18"/>
        <v>100</v>
      </c>
      <c r="I70" s="491">
        <f t="shared" si="18"/>
        <v>100</v>
      </c>
      <c r="J70" s="491">
        <f t="shared" si="18"/>
        <v>100</v>
      </c>
      <c r="K70" s="491">
        <f t="shared" si="18"/>
        <v>100</v>
      </c>
      <c r="L70" s="491">
        <f t="shared" si="18"/>
        <v>100</v>
      </c>
      <c r="M70" s="492">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0"/>
      <c r="B71" s="485">
        <f>B12</f>
        <v>111</v>
      </c>
      <c r="C71" s="501"/>
      <c r="D71" s="501"/>
      <c r="E71" s="501"/>
      <c r="F71" s="501"/>
      <c r="G71" s="501"/>
      <c r="H71" s="502"/>
      <c r="I71" s="502"/>
      <c r="J71" s="502"/>
      <c r="K71" s="502"/>
      <c r="L71" s="503"/>
      <c r="M71" s="504"/>
      <c r="N71" s="2746"/>
      <c r="O71" s="2746"/>
      <c r="P71" s="2754"/>
      <c r="Q71" s="2737"/>
      <c r="R71" s="2738"/>
      <c r="S71" s="2738"/>
      <c r="T71" s="2738"/>
      <c r="U71" s="2738"/>
      <c r="V71" s="2738"/>
      <c r="W71" s="2738"/>
      <c r="X71" s="2738"/>
      <c r="Y71" s="2738"/>
      <c r="Z71" s="2738"/>
      <c r="AA71" s="2738"/>
      <c r="AB71" s="2738"/>
      <c r="AC71" s="2738"/>
    </row>
    <row r="72" spans="1:29" s="422" customFormat="1" ht="15.75" thickBot="1">
      <c r="A72" s="500"/>
      <c r="B72" s="490"/>
      <c r="C72" s="507"/>
      <c r="D72" s="483"/>
      <c r="E72" s="483"/>
      <c r="F72" s="483"/>
      <c r="G72" s="483"/>
      <c r="H72" s="483"/>
      <c r="I72" s="483"/>
      <c r="J72" s="483"/>
      <c r="K72" s="483"/>
      <c r="L72" s="483"/>
      <c r="M72" s="484"/>
      <c r="N72" s="2745"/>
      <c r="O72" s="2745"/>
      <c r="P72" s="2754"/>
      <c r="Q72" s="2737"/>
      <c r="R72" s="2738"/>
      <c r="S72" s="2738"/>
      <c r="T72" s="2738"/>
      <c r="U72" s="2738"/>
      <c r="V72" s="2738"/>
      <c r="W72" s="2738"/>
      <c r="X72" s="2738"/>
      <c r="Y72" s="2738"/>
      <c r="Z72" s="2738"/>
      <c r="AA72" s="2738"/>
      <c r="AB72" s="2738"/>
      <c r="AC72" s="2738"/>
    </row>
    <row r="73" spans="1:29" s="422" customFormat="1" ht="15.75" thickTop="1">
      <c r="A73" s="500"/>
      <c r="B73" s="485">
        <f>B13</f>
        <v>111</v>
      </c>
      <c r="C73" s="501"/>
      <c r="D73" s="501"/>
      <c r="E73" s="501"/>
      <c r="F73" s="501"/>
      <c r="G73" s="501"/>
      <c r="H73" s="502"/>
      <c r="I73" s="502"/>
      <c r="J73" s="502"/>
      <c r="K73" s="502"/>
      <c r="L73" s="503"/>
      <c r="M73" s="504"/>
      <c r="N73" s="2746"/>
      <c r="O73" s="2746"/>
      <c r="P73" s="2755"/>
      <c r="Q73" s="2740"/>
      <c r="R73" s="2738"/>
      <c r="S73" s="2738"/>
      <c r="T73" s="2738"/>
      <c r="U73" s="2738"/>
      <c r="V73" s="2738"/>
      <c r="W73" s="2738"/>
      <c r="X73" s="2738"/>
      <c r="Y73" s="2738"/>
      <c r="Z73" s="2738"/>
      <c r="AA73" s="2738"/>
      <c r="AB73" s="2738"/>
      <c r="AC73" s="2738"/>
    </row>
    <row r="74" spans="1:29" s="422" customFormat="1" ht="15.75" thickBot="1">
      <c r="A74" s="500"/>
      <c r="B74" s="490"/>
      <c r="C74" s="507"/>
      <c r="D74" s="507"/>
      <c r="E74" s="507"/>
      <c r="F74" s="507"/>
      <c r="G74" s="507"/>
      <c r="H74" s="509"/>
      <c r="I74" s="509"/>
      <c r="J74" s="509"/>
      <c r="K74" s="509"/>
      <c r="L74" s="509"/>
      <c r="M74" s="510"/>
      <c r="N74" s="2746"/>
      <c r="O74" s="2746"/>
      <c r="P74" s="2754"/>
      <c r="Q74" s="2737"/>
      <c r="R74" s="2738"/>
      <c r="S74" s="2738"/>
      <c r="T74" s="2738"/>
      <c r="U74" s="2738"/>
      <c r="V74" s="2738"/>
      <c r="W74" s="2738"/>
      <c r="X74" s="2738"/>
      <c r="Y74" s="2738"/>
      <c r="Z74" s="2738"/>
      <c r="AA74" s="2738"/>
      <c r="AB74" s="2738"/>
      <c r="AC74" s="2738"/>
    </row>
    <row r="75" spans="1:29" s="422" customFormat="1" ht="15.75" thickTop="1">
      <c r="A75" s="500"/>
      <c r="B75" s="493">
        <f>B14</f>
        <v>111</v>
      </c>
      <c r="C75" s="470"/>
      <c r="D75" s="470"/>
      <c r="E75" s="470"/>
      <c r="F75" s="470"/>
      <c r="G75" s="470"/>
      <c r="H75" s="511"/>
      <c r="I75" s="511"/>
      <c r="J75" s="511"/>
      <c r="K75" s="511"/>
      <c r="L75" s="512"/>
      <c r="M75" s="513"/>
      <c r="N75" s="2746"/>
      <c r="O75" s="2746"/>
      <c r="P75" s="2756"/>
      <c r="Q75" s="2737"/>
      <c r="R75" s="2738"/>
      <c r="S75" s="2738"/>
      <c r="T75" s="2738"/>
      <c r="U75" s="2738"/>
      <c r="V75" s="2738"/>
      <c r="W75" s="2738"/>
      <c r="X75" s="2738"/>
      <c r="Y75" s="2738"/>
      <c r="Z75" s="2738"/>
      <c r="AA75" s="2738"/>
      <c r="AB75" s="2738"/>
      <c r="AC75" s="2738"/>
    </row>
    <row r="76" spans="1:29" s="422" customFormat="1" ht="15.75" thickBot="1">
      <c r="A76" s="515"/>
      <c r="B76" s="516"/>
      <c r="C76" s="517"/>
      <c r="D76" s="517"/>
      <c r="E76" s="517"/>
      <c r="F76" s="517"/>
      <c r="G76" s="517"/>
      <c r="H76" s="518"/>
      <c r="I76" s="518"/>
      <c r="J76" s="518"/>
      <c r="K76" s="518"/>
      <c r="L76" s="518"/>
      <c r="M76" s="519"/>
      <c r="N76" s="2746"/>
      <c r="O76" s="2746"/>
      <c r="P76" s="2754"/>
      <c r="Q76" s="2737"/>
      <c r="R76" s="2738"/>
      <c r="S76" s="2738"/>
      <c r="T76" s="2738"/>
      <c r="U76" s="2738"/>
      <c r="V76" s="2738"/>
      <c r="W76" s="2738"/>
      <c r="X76" s="2738"/>
      <c r="Y76" s="2738"/>
      <c r="Z76" s="2738"/>
      <c r="AA76" s="2738"/>
      <c r="AB76" s="2738"/>
      <c r="AC76" s="2738"/>
    </row>
    <row r="77" spans="1:29">
      <c r="A77" s="474" t="s">
        <v>1688</v>
      </c>
      <c r="B77" s="475" t="s">
        <v>1819</v>
      </c>
      <c r="C77" s="520" t="s">
        <v>1719</v>
      </c>
      <c r="D77" s="520" t="s">
        <v>1720</v>
      </c>
      <c r="E77" s="520" t="s">
        <v>1721</v>
      </c>
      <c r="F77" s="520" t="s">
        <v>1722</v>
      </c>
      <c r="G77" s="520" t="s">
        <v>1723</v>
      </c>
      <c r="H77" s="476"/>
      <c r="I77" s="476"/>
      <c r="J77" s="476"/>
      <c r="K77" s="521"/>
      <c r="L77" s="522"/>
      <c r="M77" s="523"/>
      <c r="N77" s="2744"/>
      <c r="O77" s="2744"/>
      <c r="P77" s="2757"/>
      <c r="Q77" s="2730"/>
      <c r="R77" s="2716"/>
      <c r="S77" s="2716"/>
      <c r="T77" s="2716"/>
      <c r="U77" s="2716"/>
      <c r="V77" s="2716"/>
      <c r="W77" s="2716"/>
      <c r="X77" s="2716"/>
      <c r="Y77" s="2716"/>
      <c r="Z77" s="2716"/>
      <c r="AA77" s="2716"/>
      <c r="AB77" s="2716"/>
      <c r="AC77" s="2716"/>
    </row>
    <row r="78" spans="1:29" ht="15.75" thickBot="1">
      <c r="A78" s="481"/>
      <c r="B78" s="490"/>
      <c r="C78" s="491">
        <v>100</v>
      </c>
      <c r="D78" s="491">
        <f>C78-$K15</f>
        <v>100</v>
      </c>
      <c r="E78" s="491">
        <f>D78-$K15</f>
        <v>100</v>
      </c>
      <c r="F78" s="491">
        <f>E78-$K15</f>
        <v>100</v>
      </c>
      <c r="G78" s="491">
        <f>F78-$K15</f>
        <v>100</v>
      </c>
      <c r="H78" s="491"/>
      <c r="I78" s="491"/>
      <c r="J78" s="491"/>
      <c r="K78" s="491"/>
      <c r="L78" s="491"/>
      <c r="M78" s="492"/>
      <c r="N78" s="2745"/>
      <c r="O78" s="2745"/>
      <c r="P78" s="2753"/>
      <c r="Q78" s="2730"/>
      <c r="R78" s="2716"/>
      <c r="S78" s="2716"/>
      <c r="T78" s="2716"/>
      <c r="U78" s="2716"/>
      <c r="V78" s="2716"/>
      <c r="W78" s="2716"/>
      <c r="X78" s="2716"/>
      <c r="Y78" s="2716"/>
      <c r="Z78" s="2716"/>
      <c r="AA78" s="2716"/>
      <c r="AB78" s="2716"/>
      <c r="AC78" s="2716"/>
    </row>
    <row r="79" spans="1:29" ht="15.75" thickTop="1">
      <c r="A79" s="481"/>
      <c r="B79" s="485" t="s">
        <v>1724</v>
      </c>
      <c r="C79" s="525" t="s">
        <v>1719</v>
      </c>
      <c r="D79" s="525" t="s">
        <v>1720</v>
      </c>
      <c r="E79" s="525" t="s">
        <v>1721</v>
      </c>
      <c r="F79" s="525" t="s">
        <v>1722</v>
      </c>
      <c r="G79" s="525" t="s">
        <v>1723</v>
      </c>
      <c r="H79" s="486"/>
      <c r="I79" s="486"/>
      <c r="J79" s="486"/>
      <c r="K79" s="487"/>
      <c r="L79" s="488"/>
      <c r="M79" s="489"/>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C80-$K17</f>
        <v>100</v>
      </c>
      <c r="E80" s="491">
        <f>D80-$K17</f>
        <v>100</v>
      </c>
      <c r="F80" s="491">
        <f>E80-$K17</f>
        <v>100</v>
      </c>
      <c r="G80" s="491">
        <f>F80-$K17</f>
        <v>100</v>
      </c>
      <c r="H80" s="491"/>
      <c r="I80" s="491"/>
      <c r="J80" s="491"/>
      <c r="K80" s="491"/>
      <c r="L80" s="491"/>
      <c r="M80" s="492"/>
      <c r="N80" s="2745"/>
      <c r="O80" s="2745"/>
      <c r="P80" s="2753"/>
      <c r="Q80" s="2730"/>
      <c r="R80" s="2716"/>
      <c r="S80" s="2716"/>
      <c r="T80" s="2716"/>
      <c r="U80" s="2716"/>
      <c r="V80" s="2716"/>
      <c r="W80" s="2716"/>
      <c r="X80" s="2716"/>
      <c r="Y80" s="2716"/>
      <c r="Z80" s="2716"/>
      <c r="AA80" s="2716"/>
      <c r="AB80" s="2716"/>
      <c r="AC80" s="2716"/>
    </row>
    <row r="81" spans="1:29" ht="15.75" thickTop="1">
      <c r="A81" s="481"/>
      <c r="B81" s="485" t="s">
        <v>1725</v>
      </c>
      <c r="C81" s="525" t="s">
        <v>1719</v>
      </c>
      <c r="D81" s="525" t="s">
        <v>1720</v>
      </c>
      <c r="E81" s="525" t="s">
        <v>1721</v>
      </c>
      <c r="F81" s="525" t="s">
        <v>1722</v>
      </c>
      <c r="G81" s="525" t="s">
        <v>1723</v>
      </c>
      <c r="H81" s="486"/>
      <c r="I81" s="486"/>
      <c r="J81" s="486"/>
      <c r="K81" s="487"/>
      <c r="L81" s="488"/>
      <c r="M81" s="489"/>
      <c r="N81" s="2744"/>
      <c r="O81" s="2744"/>
      <c r="P81" s="2753"/>
      <c r="Q81" s="2730"/>
      <c r="R81" s="2716"/>
      <c r="S81" s="2716"/>
      <c r="T81" s="2716"/>
      <c r="U81" s="2716"/>
      <c r="V81" s="2716"/>
      <c r="W81" s="2716"/>
      <c r="X81" s="2716"/>
      <c r="Y81" s="2716"/>
      <c r="Z81" s="2716"/>
      <c r="AA81" s="2716"/>
      <c r="AB81" s="2716"/>
      <c r="AC81" s="2716"/>
    </row>
    <row r="82" spans="1:29" ht="15.75" thickBot="1">
      <c r="A82" s="481"/>
      <c r="B82" s="490"/>
      <c r="C82" s="491">
        <v>100</v>
      </c>
      <c r="D82" s="491">
        <f>C82-$K19</f>
        <v>100</v>
      </c>
      <c r="E82" s="491">
        <f>D82-$K19</f>
        <v>100</v>
      </c>
      <c r="F82" s="491">
        <f>E82-$K19</f>
        <v>100</v>
      </c>
      <c r="G82" s="491">
        <f>F82-$K19</f>
        <v>100</v>
      </c>
      <c r="H82" s="491"/>
      <c r="I82" s="491"/>
      <c r="J82" s="491"/>
      <c r="K82" s="491"/>
      <c r="L82" s="491"/>
      <c r="M82" s="492"/>
      <c r="N82" s="2745"/>
      <c r="O82" s="2745"/>
      <c r="P82" s="2753"/>
      <c r="Q82" s="2730"/>
      <c r="R82" s="2716"/>
      <c r="S82" s="2716"/>
      <c r="T82" s="2716"/>
      <c r="U82" s="2716"/>
      <c r="V82" s="2716"/>
      <c r="W82" s="2716"/>
      <c r="X82" s="2716"/>
      <c r="Y82" s="2716"/>
      <c r="Z82" s="2716"/>
      <c r="AA82" s="2716"/>
      <c r="AB82" s="2716"/>
      <c r="AC82" s="2716"/>
    </row>
    <row r="83" spans="1:29" ht="15.75" thickTop="1">
      <c r="A83" s="481"/>
      <c r="B83" s="493" t="s">
        <v>1811</v>
      </c>
      <c r="C83" s="606" t="s">
        <v>1797</v>
      </c>
      <c r="D83" s="606" t="s">
        <v>1798</v>
      </c>
      <c r="E83" s="606" t="s">
        <v>1799</v>
      </c>
      <c r="F83" s="606" t="s">
        <v>1800</v>
      </c>
      <c r="G83" s="606" t="s">
        <v>1801</v>
      </c>
      <c r="H83" s="486"/>
      <c r="I83" s="486"/>
      <c r="J83" s="486"/>
      <c r="K83" s="486"/>
      <c r="L83" s="486"/>
      <c r="M83" s="1127"/>
      <c r="N83" s="2745"/>
      <c r="O83" s="2745"/>
      <c r="P83" s="2753"/>
      <c r="Q83" s="2730"/>
      <c r="R83" s="2716"/>
      <c r="S83" s="2716"/>
      <c r="T83" s="2716"/>
      <c r="U83" s="2716"/>
      <c r="V83" s="2716"/>
      <c r="W83" s="2716"/>
      <c r="X83" s="2716"/>
      <c r="Y83" s="2716"/>
      <c r="Z83" s="2716"/>
      <c r="AA83" s="2716"/>
      <c r="AB83" s="2716"/>
      <c r="AC83" s="2716"/>
    </row>
    <row r="84" spans="1:29" ht="15.75" thickBot="1">
      <c r="A84" s="481"/>
      <c r="B84" s="493"/>
      <c r="C84" s="491">
        <v>100</v>
      </c>
      <c r="D84" s="491">
        <f>C84-$K21</f>
        <v>100</v>
      </c>
      <c r="E84" s="491">
        <f>D84-$K21</f>
        <v>100</v>
      </c>
      <c r="F84" s="491">
        <f>E84-$K21</f>
        <v>100</v>
      </c>
      <c r="G84" s="491">
        <f>F84-$K21</f>
        <v>100</v>
      </c>
      <c r="H84" s="606"/>
      <c r="I84" s="606"/>
      <c r="J84" s="606"/>
      <c r="K84" s="606"/>
      <c r="L84" s="606"/>
      <c r="M84" s="401"/>
      <c r="N84" s="2745"/>
      <c r="O84" s="2745"/>
      <c r="P84" s="2753"/>
      <c r="Q84" s="2730"/>
      <c r="R84" s="2716"/>
      <c r="S84" s="2716"/>
      <c r="T84" s="2716"/>
      <c r="U84" s="2716"/>
      <c r="V84" s="2716"/>
      <c r="W84" s="2716"/>
      <c r="X84" s="2716"/>
      <c r="Y84" s="2716"/>
      <c r="Z84" s="2716"/>
      <c r="AA84" s="2716"/>
      <c r="AB84" s="2716"/>
      <c r="AC84" s="2716"/>
    </row>
    <row r="85" spans="1:29" ht="15.75" thickTop="1">
      <c r="A85" s="481"/>
      <c r="B85" s="485" t="s">
        <v>1820</v>
      </c>
      <c r="C85" s="525" t="s">
        <v>1719</v>
      </c>
      <c r="D85" s="525" t="s">
        <v>1720</v>
      </c>
      <c r="E85" s="525" t="s">
        <v>1721</v>
      </c>
      <c r="F85" s="525" t="s">
        <v>1722</v>
      </c>
      <c r="G85" s="525" t="s">
        <v>1723</v>
      </c>
      <c r="H85" s="486"/>
      <c r="I85" s="486"/>
      <c r="J85" s="486"/>
      <c r="K85" s="487"/>
      <c r="L85" s="488"/>
      <c r="M85" s="489"/>
      <c r="N85" s="2744"/>
      <c r="O85" s="2744"/>
      <c r="P85" s="2753"/>
      <c r="Q85" s="2730"/>
      <c r="R85" s="2716"/>
      <c r="S85" s="2716"/>
      <c r="T85" s="2716"/>
      <c r="U85" s="2716"/>
      <c r="V85" s="2716"/>
      <c r="W85" s="2716"/>
      <c r="X85" s="2716"/>
      <c r="Y85" s="2716"/>
      <c r="Z85" s="2716"/>
      <c r="AA85" s="2716"/>
      <c r="AB85" s="2716"/>
      <c r="AC85" s="2716"/>
    </row>
    <row r="86" spans="1:29" ht="15.75" thickBot="1">
      <c r="A86" s="481"/>
      <c r="B86" s="490"/>
      <c r="C86" s="491">
        <v>100</v>
      </c>
      <c r="D86" s="491">
        <f>C86-$K23</f>
        <v>100</v>
      </c>
      <c r="E86" s="491">
        <f>D86-$K23</f>
        <v>100</v>
      </c>
      <c r="F86" s="491">
        <f>E86-$K23</f>
        <v>100</v>
      </c>
      <c r="G86" s="491">
        <f>F86-$K23</f>
        <v>100</v>
      </c>
      <c r="H86" s="491"/>
      <c r="I86" s="491"/>
      <c r="J86" s="491"/>
      <c r="K86" s="491"/>
      <c r="L86" s="491"/>
      <c r="M86" s="492"/>
      <c r="N86" s="2745"/>
      <c r="O86" s="2745"/>
      <c r="P86" s="2753"/>
      <c r="Q86" s="2730"/>
      <c r="R86" s="2716"/>
      <c r="S86" s="2716"/>
      <c r="T86" s="2716"/>
      <c r="U86" s="2716"/>
      <c r="V86" s="2716"/>
      <c r="W86" s="2716"/>
      <c r="X86" s="2716"/>
      <c r="Y86" s="2716"/>
      <c r="Z86" s="2716"/>
      <c r="AA86" s="2716"/>
      <c r="AB86" s="2716"/>
      <c r="AC86" s="2716"/>
    </row>
    <row r="87" spans="1:29" s="108" customFormat="1" ht="27.75" thickTop="1">
      <c r="A87" s="526"/>
      <c r="B87" s="485" t="s">
        <v>1821</v>
      </c>
      <c r="C87" s="501"/>
      <c r="D87" s="501"/>
      <c r="E87" s="501"/>
      <c r="F87" s="501"/>
      <c r="G87" s="501"/>
      <c r="H87" s="501"/>
      <c r="I87" s="501"/>
      <c r="J87" s="501"/>
      <c r="K87" s="501"/>
      <c r="L87" s="527"/>
      <c r="M87" s="528"/>
      <c r="N87" s="2743"/>
      <c r="O87" s="2743"/>
      <c r="P87" s="2753"/>
      <c r="Q87" s="2730"/>
      <c r="R87" s="2652"/>
      <c r="S87" s="2652"/>
      <c r="T87" s="2652"/>
      <c r="U87" s="2652"/>
      <c r="V87" s="2652"/>
      <c r="W87" s="2652"/>
      <c r="X87" s="2652"/>
      <c r="Y87" s="2652"/>
      <c r="Z87" s="2652"/>
      <c r="AA87" s="2652"/>
      <c r="AB87" s="2652"/>
      <c r="AC87" s="2652"/>
    </row>
    <row r="88" spans="1:29" s="108" customFormat="1" ht="15.75" thickBot="1">
      <c r="A88" s="526"/>
      <c r="B88" s="490"/>
      <c r="C88" s="529">
        <v>100</v>
      </c>
      <c r="D88" s="491">
        <f t="shared" ref="D88:M88" si="19">C88-$K25</f>
        <v>100</v>
      </c>
      <c r="E88" s="491">
        <f t="shared" si="19"/>
        <v>100</v>
      </c>
      <c r="F88" s="491">
        <f t="shared" si="19"/>
        <v>100</v>
      </c>
      <c r="G88" s="491">
        <f t="shared" si="19"/>
        <v>100</v>
      </c>
      <c r="H88" s="491">
        <f t="shared" si="19"/>
        <v>100</v>
      </c>
      <c r="I88" s="491">
        <f t="shared" si="19"/>
        <v>100</v>
      </c>
      <c r="J88" s="491">
        <f t="shared" si="19"/>
        <v>100</v>
      </c>
      <c r="K88" s="491">
        <f t="shared" si="19"/>
        <v>100</v>
      </c>
      <c r="L88" s="491">
        <f t="shared" si="19"/>
        <v>100</v>
      </c>
      <c r="M88" s="491">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6"/>
      <c r="B89" s="485" t="str">
        <f>B27</f>
        <v>楼层</v>
      </c>
      <c r="C89" s="501"/>
      <c r="D89" s="501"/>
      <c r="E89" s="501"/>
      <c r="F89" s="1921"/>
      <c r="G89" s="501"/>
      <c r="H89" s="501"/>
      <c r="I89" s="501"/>
      <c r="J89" s="501"/>
      <c r="K89" s="501"/>
      <c r="L89" s="501"/>
      <c r="M89" s="528"/>
      <c r="N89" s="2743"/>
      <c r="O89" s="2743"/>
      <c r="P89" s="2753"/>
      <c r="Q89" s="2730"/>
      <c r="R89" s="2652"/>
      <c r="S89" s="2652"/>
      <c r="T89" s="2652"/>
      <c r="U89" s="2652"/>
      <c r="V89" s="2652"/>
      <c r="W89" s="2652"/>
      <c r="X89" s="2652"/>
      <c r="Y89" s="2652"/>
      <c r="Z89" s="2652"/>
      <c r="AA89" s="2652"/>
      <c r="AB89" s="2652"/>
      <c r="AC89" s="2652"/>
    </row>
    <row r="90" spans="1:29" s="108" customFormat="1" ht="15.75" thickBot="1">
      <c r="A90" s="526"/>
      <c r="B90" s="490"/>
      <c r="C90" s="529">
        <v>100</v>
      </c>
      <c r="D90" s="491">
        <f>C90-$K27</f>
        <v>100</v>
      </c>
      <c r="E90" s="491">
        <f t="shared" ref="E90:M90" si="20">D90-$K27</f>
        <v>100</v>
      </c>
      <c r="F90" s="491">
        <f t="shared" si="20"/>
        <v>100</v>
      </c>
      <c r="G90" s="491">
        <f t="shared" si="20"/>
        <v>100</v>
      </c>
      <c r="H90" s="491">
        <f t="shared" si="20"/>
        <v>100</v>
      </c>
      <c r="I90" s="491">
        <f t="shared" si="20"/>
        <v>100</v>
      </c>
      <c r="J90" s="491">
        <f t="shared" si="20"/>
        <v>100</v>
      </c>
      <c r="K90" s="491">
        <f t="shared" si="20"/>
        <v>100</v>
      </c>
      <c r="L90" s="491">
        <f t="shared" si="20"/>
        <v>100</v>
      </c>
      <c r="M90" s="491">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0"/>
      <c r="B91" s="485" t="str">
        <f>B28</f>
        <v>朝向</v>
      </c>
      <c r="C91" s="501"/>
      <c r="D91" s="501"/>
      <c r="E91" s="501"/>
      <c r="F91" s="501"/>
      <c r="G91" s="501"/>
      <c r="H91" s="502"/>
      <c r="I91" s="502"/>
      <c r="J91" s="502"/>
      <c r="K91" s="502"/>
      <c r="L91" s="503"/>
      <c r="M91" s="504"/>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29">
        <v>100</v>
      </c>
      <c r="D92" s="491">
        <f t="shared" ref="D92:M92" si="21">C92-$K28</f>
        <v>100</v>
      </c>
      <c r="E92" s="491">
        <f t="shared" si="21"/>
        <v>100</v>
      </c>
      <c r="F92" s="491">
        <f t="shared" si="21"/>
        <v>100</v>
      </c>
      <c r="G92" s="491">
        <f t="shared" si="21"/>
        <v>100</v>
      </c>
      <c r="H92" s="491">
        <f t="shared" si="21"/>
        <v>100</v>
      </c>
      <c r="I92" s="491">
        <f t="shared" si="21"/>
        <v>100</v>
      </c>
      <c r="J92" s="491">
        <f t="shared" si="21"/>
        <v>100</v>
      </c>
      <c r="K92" s="491">
        <f t="shared" si="21"/>
        <v>100</v>
      </c>
      <c r="L92" s="491">
        <f t="shared" si="21"/>
        <v>100</v>
      </c>
      <c r="M92" s="491">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1"/>
      <c r="B93" s="485">
        <f>B29</f>
        <v>111</v>
      </c>
      <c r="C93" s="501"/>
      <c r="D93" s="501"/>
      <c r="E93" s="501"/>
      <c r="F93" s="501"/>
      <c r="G93" s="501"/>
      <c r="H93" s="501"/>
      <c r="I93" s="501"/>
      <c r="J93" s="501"/>
      <c r="K93" s="501"/>
      <c r="L93" s="527"/>
      <c r="M93" s="528"/>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507"/>
      <c r="D94" s="483"/>
      <c r="E94" s="483"/>
      <c r="F94" s="483"/>
      <c r="G94" s="483"/>
      <c r="H94" s="483"/>
      <c r="I94" s="483"/>
      <c r="J94" s="483"/>
      <c r="K94" s="483"/>
      <c r="L94" s="483"/>
      <c r="M94" s="484"/>
      <c r="N94" s="2745"/>
      <c r="O94" s="2745"/>
      <c r="P94" s="2753"/>
      <c r="Q94" s="2730"/>
      <c r="R94" s="2716"/>
      <c r="S94" s="2716"/>
      <c r="T94" s="2716"/>
      <c r="U94" s="2716"/>
      <c r="V94" s="2716"/>
      <c r="W94" s="2716"/>
      <c r="X94" s="2716"/>
      <c r="Y94" s="2716"/>
      <c r="Z94" s="2716"/>
      <c r="AA94" s="2716"/>
      <c r="AB94" s="2716"/>
      <c r="AC94" s="2716"/>
    </row>
    <row r="95" spans="1:29" ht="15.75" thickTop="1">
      <c r="A95" s="481"/>
      <c r="B95" s="485">
        <f>B30</f>
        <v>111</v>
      </c>
      <c r="C95" s="501"/>
      <c r="D95" s="501"/>
      <c r="E95" s="501"/>
      <c r="F95" s="501"/>
      <c r="G95" s="530"/>
      <c r="H95" s="530"/>
      <c r="I95" s="530"/>
      <c r="J95" s="530"/>
      <c r="K95" s="531"/>
      <c r="L95" s="532"/>
      <c r="M95" s="533"/>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507"/>
      <c r="D96" s="507"/>
      <c r="E96" s="507"/>
      <c r="F96" s="507"/>
      <c r="G96" s="483"/>
      <c r="H96" s="483"/>
      <c r="I96" s="483"/>
      <c r="J96" s="483"/>
      <c r="K96" s="483"/>
      <c r="L96" s="483"/>
      <c r="M96" s="484"/>
      <c r="N96" s="2745"/>
      <c r="O96" s="2745"/>
      <c r="P96" s="2753"/>
      <c r="Q96" s="2730"/>
      <c r="R96" s="2716"/>
      <c r="S96" s="2716"/>
      <c r="T96" s="2716"/>
      <c r="U96" s="2716"/>
      <c r="V96" s="2716"/>
      <c r="W96" s="2716"/>
      <c r="X96" s="2716"/>
      <c r="Y96" s="2716"/>
      <c r="Z96" s="2716"/>
      <c r="AA96" s="2716"/>
      <c r="AB96" s="2716"/>
      <c r="AC96" s="2716"/>
    </row>
    <row r="97" spans="1:29" ht="15.75" thickTop="1">
      <c r="A97" s="481"/>
      <c r="B97" s="485">
        <f>B31</f>
        <v>111</v>
      </c>
      <c r="C97" s="501"/>
      <c r="D97" s="501"/>
      <c r="E97" s="501"/>
      <c r="F97" s="501"/>
      <c r="G97" s="530"/>
      <c r="H97" s="530"/>
      <c r="I97" s="530"/>
      <c r="J97" s="530"/>
      <c r="K97" s="531"/>
      <c r="L97" s="532"/>
      <c r="M97" s="533"/>
      <c r="N97" s="2744"/>
      <c r="O97" s="2744"/>
      <c r="P97" s="2753"/>
      <c r="Q97" s="2730"/>
      <c r="R97" s="2716"/>
      <c r="S97" s="2716"/>
      <c r="T97" s="2716"/>
      <c r="U97" s="2716"/>
      <c r="V97" s="2716"/>
      <c r="W97" s="2716"/>
      <c r="X97" s="2716"/>
      <c r="Y97" s="2716"/>
      <c r="Z97" s="2716"/>
      <c r="AA97" s="2716"/>
      <c r="AB97" s="2716"/>
      <c r="AC97" s="2716"/>
    </row>
    <row r="98" spans="1:29" ht="15.75" thickBot="1">
      <c r="A98" s="481"/>
      <c r="B98" s="490"/>
      <c r="C98" s="507"/>
      <c r="D98" s="483"/>
      <c r="E98" s="483"/>
      <c r="F98" s="483"/>
      <c r="G98" s="483"/>
      <c r="H98" s="483"/>
      <c r="I98" s="483"/>
      <c r="J98" s="483"/>
      <c r="K98" s="483"/>
      <c r="L98" s="483"/>
      <c r="M98" s="484"/>
      <c r="N98" s="2745"/>
      <c r="O98" s="2745"/>
      <c r="P98" s="2753"/>
      <c r="Q98" s="2730"/>
      <c r="R98" s="2716"/>
      <c r="S98" s="2716"/>
      <c r="T98" s="2716"/>
      <c r="U98" s="2716"/>
      <c r="V98" s="2716"/>
      <c r="W98" s="2716"/>
      <c r="X98" s="2716"/>
      <c r="Y98" s="2716"/>
      <c r="Z98" s="2716"/>
      <c r="AA98" s="2716"/>
      <c r="AB98" s="2716"/>
      <c r="AC98" s="2716"/>
    </row>
    <row r="99" spans="1:29" ht="15.75" thickTop="1">
      <c r="A99" s="481"/>
      <c r="B99" s="493">
        <f>B32</f>
        <v>111</v>
      </c>
      <c r="C99" s="470"/>
      <c r="D99" s="470"/>
      <c r="E99" s="470"/>
      <c r="F99" s="470"/>
      <c r="G99" s="534"/>
      <c r="H99" s="534"/>
      <c r="I99" s="534"/>
      <c r="J99" s="534"/>
      <c r="K99" s="535"/>
      <c r="L99" s="536"/>
      <c r="M99" s="537"/>
      <c r="N99" s="2744"/>
      <c r="O99" s="2744"/>
      <c r="P99" s="2753"/>
      <c r="Q99" s="2730"/>
      <c r="R99" s="2716"/>
      <c r="S99" s="2716"/>
      <c r="T99" s="2716"/>
      <c r="U99" s="2716"/>
      <c r="V99" s="2716"/>
      <c r="W99" s="2716"/>
      <c r="X99" s="2716"/>
      <c r="Y99" s="2716"/>
      <c r="Z99" s="2716"/>
      <c r="AA99" s="2716"/>
      <c r="AB99" s="2716"/>
      <c r="AC99" s="2716"/>
    </row>
    <row r="100" spans="1:29" ht="15.75" thickBot="1">
      <c r="A100" s="1922"/>
      <c r="B100" s="516"/>
      <c r="C100" s="517"/>
      <c r="D100" s="517"/>
      <c r="E100" s="517"/>
      <c r="F100" s="517"/>
      <c r="G100" s="538"/>
      <c r="H100" s="538"/>
      <c r="I100" s="538"/>
      <c r="J100" s="538"/>
      <c r="K100" s="538"/>
      <c r="L100" s="538"/>
      <c r="M100" s="539"/>
      <c r="N100" s="2745"/>
      <c r="O100" s="2745"/>
      <c r="P100" s="2753"/>
      <c r="Q100" s="2730"/>
      <c r="R100" s="2716"/>
      <c r="S100" s="2716"/>
      <c r="T100" s="2716"/>
      <c r="U100" s="2716"/>
      <c r="V100" s="2716"/>
      <c r="W100" s="2716"/>
      <c r="X100" s="2716"/>
      <c r="Y100" s="2716"/>
      <c r="Z100" s="2716"/>
      <c r="AA100" s="2716"/>
      <c r="AB100" s="2716"/>
      <c r="AC100" s="2716"/>
    </row>
    <row r="101" spans="1:29">
      <c r="A101" s="474" t="s">
        <v>1692</v>
      </c>
      <c r="B101" s="475" t="s">
        <v>1734</v>
      </c>
      <c r="C101" s="477"/>
      <c r="D101" s="477"/>
      <c r="E101" s="477"/>
      <c r="F101" s="477"/>
      <c r="G101" s="477"/>
      <c r="H101" s="477"/>
      <c r="I101" s="477"/>
      <c r="J101" s="477"/>
      <c r="K101" s="478"/>
      <c r="L101" s="479"/>
      <c r="M101" s="480"/>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491">
        <v>100</v>
      </c>
      <c r="D102" s="491">
        <f t="shared" ref="D102:M102" si="22">C102-$K33</f>
        <v>100</v>
      </c>
      <c r="E102" s="491">
        <f t="shared" si="22"/>
        <v>100</v>
      </c>
      <c r="F102" s="491">
        <f t="shared" si="22"/>
        <v>100</v>
      </c>
      <c r="G102" s="491">
        <f t="shared" si="22"/>
        <v>100</v>
      </c>
      <c r="H102" s="491">
        <f t="shared" si="22"/>
        <v>100</v>
      </c>
      <c r="I102" s="491">
        <f t="shared" si="22"/>
        <v>100</v>
      </c>
      <c r="J102" s="491">
        <f t="shared" si="22"/>
        <v>100</v>
      </c>
      <c r="K102" s="491">
        <f t="shared" si="22"/>
        <v>100</v>
      </c>
      <c r="L102" s="491">
        <f t="shared" si="22"/>
        <v>100</v>
      </c>
      <c r="M102" s="492">
        <f t="shared" si="22"/>
        <v>100</v>
      </c>
      <c r="N102" s="2745"/>
      <c r="O102" s="2745"/>
      <c r="P102" s="2753"/>
      <c r="Q102" s="2730"/>
      <c r="R102" s="2716"/>
      <c r="S102" s="2716"/>
      <c r="T102" s="2716"/>
      <c r="U102" s="2716"/>
      <c r="V102" s="2716"/>
      <c r="W102" s="2716"/>
      <c r="X102" s="2716"/>
      <c r="Y102" s="2716"/>
      <c r="Z102" s="2716"/>
      <c r="AA102" s="2716"/>
      <c r="AB102" s="2716"/>
      <c r="AC102" s="2716"/>
    </row>
    <row r="103" spans="1:29" ht="15.75" thickTop="1">
      <c r="A103" s="481"/>
      <c r="B103" s="485" t="s">
        <v>1735</v>
      </c>
      <c r="C103" s="525" t="str">
        <f>C104&amp;"(含)"&amp;"-"&amp;D104</f>
        <v>(含)-</v>
      </c>
      <c r="D103" s="525" t="str">
        <f t="shared" ref="D103:L103" si="23">D104&amp;"(含)"&amp;"-"&amp;E104</f>
        <v>(含)-</v>
      </c>
      <c r="E103" s="525" t="str">
        <f t="shared" si="23"/>
        <v>(含)-</v>
      </c>
      <c r="F103" s="525" t="str">
        <f t="shared" si="23"/>
        <v>(含)-</v>
      </c>
      <c r="G103" s="525" t="str">
        <f t="shared" si="23"/>
        <v>(含)-</v>
      </c>
      <c r="H103" s="525" t="str">
        <f t="shared" si="23"/>
        <v>(含)-</v>
      </c>
      <c r="I103" s="525" t="str">
        <f t="shared" si="23"/>
        <v>(含)-</v>
      </c>
      <c r="J103" s="525" t="str">
        <f t="shared" si="23"/>
        <v>(含)-</v>
      </c>
      <c r="K103" s="525" t="str">
        <f t="shared" si="23"/>
        <v>(含)-</v>
      </c>
      <c r="L103" s="525" t="str">
        <f t="shared" si="23"/>
        <v>(含)-</v>
      </c>
      <c r="M103" s="568"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0"/>
      <c r="B104" s="541"/>
      <c r="C104" s="542"/>
      <c r="D104" s="542"/>
      <c r="E104" s="542"/>
      <c r="F104" s="542"/>
      <c r="G104" s="542"/>
      <c r="H104" s="542"/>
      <c r="I104" s="542"/>
      <c r="J104" s="543"/>
      <c r="K104" s="543"/>
      <c r="L104" s="544"/>
      <c r="M104" s="545"/>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0"/>
      <c r="B105" s="490"/>
      <c r="C105" s="507"/>
      <c r="D105" s="483"/>
      <c r="E105" s="483"/>
      <c r="F105" s="483"/>
      <c r="G105" s="483"/>
      <c r="H105" s="483"/>
      <c r="I105" s="483"/>
      <c r="J105" s="483"/>
      <c r="K105" s="483"/>
      <c r="L105" s="483"/>
      <c r="M105" s="484"/>
      <c r="N105" s="2745"/>
      <c r="O105" s="2745"/>
      <c r="P105" s="2754"/>
      <c r="Q105" s="2737"/>
      <c r="R105" s="2738"/>
      <c r="S105" s="2738"/>
      <c r="T105" s="2738"/>
      <c r="U105" s="2738"/>
      <c r="V105" s="2738"/>
      <c r="W105" s="2738"/>
      <c r="X105" s="2738"/>
      <c r="Y105" s="2738"/>
      <c r="Z105" s="2738"/>
      <c r="AA105" s="2738"/>
      <c r="AB105" s="2738"/>
      <c r="AC105" s="2738"/>
    </row>
    <row r="106" spans="1:29" ht="15" thickTop="1">
      <c r="A106" s="546"/>
      <c r="B106" s="485" t="s">
        <v>1736</v>
      </c>
      <c r="C106" s="501"/>
      <c r="D106" s="501"/>
      <c r="E106" s="530"/>
      <c r="F106" s="530"/>
      <c r="G106" s="530"/>
      <c r="H106" s="530"/>
      <c r="I106" s="530"/>
      <c r="J106" s="530"/>
      <c r="K106" s="531"/>
      <c r="L106" s="532"/>
      <c r="M106" s="533"/>
      <c r="N106" s="2744"/>
      <c r="O106" s="2744"/>
      <c r="P106" s="2753"/>
      <c r="Q106" s="2730"/>
      <c r="R106" s="2716"/>
      <c r="S106" s="2716"/>
      <c r="T106" s="2716"/>
      <c r="U106" s="2716"/>
      <c r="V106" s="2716"/>
      <c r="W106" s="2716"/>
      <c r="X106" s="2716"/>
      <c r="Y106" s="2716"/>
      <c r="Z106" s="2716"/>
      <c r="AA106" s="2716"/>
      <c r="AB106" s="2716"/>
      <c r="AC106" s="2716"/>
    </row>
    <row r="107" spans="1:29" ht="15.75" thickBot="1">
      <c r="A107" s="481"/>
      <c r="B107" s="490"/>
      <c r="C107" s="491">
        <v>100</v>
      </c>
      <c r="D107" s="491">
        <f t="shared" ref="D107:M107" si="24">C107-$K35</f>
        <v>100</v>
      </c>
      <c r="E107" s="491">
        <f t="shared" si="24"/>
        <v>100</v>
      </c>
      <c r="F107" s="491">
        <f t="shared" si="24"/>
        <v>100</v>
      </c>
      <c r="G107" s="491">
        <f t="shared" si="24"/>
        <v>100</v>
      </c>
      <c r="H107" s="491">
        <f t="shared" si="24"/>
        <v>100</v>
      </c>
      <c r="I107" s="491">
        <f t="shared" si="24"/>
        <v>100</v>
      </c>
      <c r="J107" s="491">
        <f t="shared" si="24"/>
        <v>100</v>
      </c>
      <c r="K107" s="491">
        <f t="shared" si="24"/>
        <v>100</v>
      </c>
      <c r="L107" s="491">
        <f t="shared" si="24"/>
        <v>100</v>
      </c>
      <c r="M107" s="492">
        <f t="shared" si="24"/>
        <v>100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6"/>
      <c r="B108" s="485" t="s">
        <v>1738</v>
      </c>
      <c r="C108" s="501"/>
      <c r="D108" s="501"/>
      <c r="E108" s="501"/>
      <c r="F108" s="530"/>
      <c r="G108" s="530"/>
      <c r="H108" s="530"/>
      <c r="I108" s="530"/>
      <c r="J108" s="530"/>
      <c r="K108" s="531"/>
      <c r="L108" s="532"/>
      <c r="M108" s="533"/>
      <c r="N108" s="2744"/>
      <c r="O108" s="2744"/>
      <c r="P108" s="2753"/>
      <c r="Q108" s="2730"/>
      <c r="R108" s="2716"/>
      <c r="S108" s="2716"/>
      <c r="T108" s="2716"/>
      <c r="U108" s="2716"/>
      <c r="V108" s="2716"/>
      <c r="W108" s="2716"/>
      <c r="X108" s="2716"/>
      <c r="Y108" s="2716"/>
      <c r="Z108" s="2716"/>
      <c r="AA108" s="2716"/>
      <c r="AB108" s="2716"/>
      <c r="AC108" s="2716"/>
    </row>
    <row r="109" spans="1:29" ht="15.75" thickBot="1">
      <c r="A109" s="481"/>
      <c r="B109" s="490"/>
      <c r="C109" s="491">
        <v>100</v>
      </c>
      <c r="D109" s="491">
        <f t="shared" ref="D109:M109" si="25">C109-$K36</f>
        <v>100</v>
      </c>
      <c r="E109" s="491">
        <f t="shared" si="25"/>
        <v>100</v>
      </c>
      <c r="F109" s="491">
        <f t="shared" si="25"/>
        <v>100</v>
      </c>
      <c r="G109" s="491">
        <f t="shared" si="25"/>
        <v>100</v>
      </c>
      <c r="H109" s="491">
        <f t="shared" si="25"/>
        <v>100</v>
      </c>
      <c r="I109" s="491">
        <f t="shared" si="25"/>
        <v>100</v>
      </c>
      <c r="J109" s="491">
        <f t="shared" si="25"/>
        <v>100</v>
      </c>
      <c r="K109" s="491">
        <f t="shared" si="25"/>
        <v>100</v>
      </c>
      <c r="L109" s="491">
        <f t="shared" si="25"/>
        <v>100</v>
      </c>
      <c r="M109" s="492">
        <f t="shared" si="25"/>
        <v>100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6"/>
      <c r="B110" s="485" t="s">
        <v>1188</v>
      </c>
      <c r="C110" s="525" t="str">
        <f>C111&amp;"(含)"&amp;"-"&amp;D111</f>
        <v>0.5(含)-0.6</v>
      </c>
      <c r="D110" s="525" t="str">
        <f>D111&amp;"(含)"&amp;"-"&amp;E111</f>
        <v>0.6(含)-0.7</v>
      </c>
      <c r="E110" s="525" t="str">
        <f>E111&amp;"(含)"&amp;"-"&amp;F111</f>
        <v>0.7(含)-0.8</v>
      </c>
      <c r="F110" s="525" t="str">
        <f>F111&amp;"(含)"&amp;"-"&amp;G111</f>
        <v>0.8(含)-0.9</v>
      </c>
      <c r="G110" s="525" t="str">
        <f>G111&amp;"(含)"&amp;"-"&amp;ROUND(H111,0)&amp;"(含)"</f>
        <v>0.9(含)-1(含)</v>
      </c>
      <c r="H110" s="525"/>
      <c r="I110" s="530"/>
      <c r="J110" s="530"/>
      <c r="K110" s="531"/>
      <c r="L110" s="532"/>
      <c r="M110" s="533"/>
      <c r="N110" s="2744"/>
      <c r="O110" s="2744"/>
      <c r="P110" s="2753"/>
      <c r="Q110" s="2730"/>
      <c r="R110" s="2716"/>
      <c r="S110" s="2716"/>
      <c r="T110" s="2716"/>
      <c r="U110" s="2716"/>
      <c r="V110" s="2716"/>
      <c r="W110" s="2716"/>
      <c r="X110" s="2716"/>
      <c r="Y110" s="2716"/>
      <c r="Z110" s="2716"/>
      <c r="AA110" s="2716"/>
      <c r="AB110" s="2716"/>
      <c r="AC110" s="2716"/>
    </row>
    <row r="111" spans="1:29">
      <c r="A111" s="546"/>
      <c r="B111" s="493"/>
      <c r="C111" s="550">
        <v>0.5</v>
      </c>
      <c r="D111" s="550">
        <v>0.6</v>
      </c>
      <c r="E111" s="550">
        <v>0.7</v>
      </c>
      <c r="F111" s="550">
        <v>0.8</v>
      </c>
      <c r="G111" s="550">
        <v>0.9</v>
      </c>
      <c r="H111" s="550">
        <v>1.0001</v>
      </c>
      <c r="I111" s="569"/>
      <c r="J111" s="569"/>
      <c r="K111" s="570"/>
      <c r="L111" s="571"/>
      <c r="M111" s="572"/>
      <c r="N111" s="2744"/>
      <c r="O111" s="2744"/>
      <c r="P111" s="2753"/>
      <c r="Q111" s="2730"/>
      <c r="R111" s="2716"/>
      <c r="S111" s="2716"/>
      <c r="T111" s="2716"/>
      <c r="U111" s="2716"/>
      <c r="V111" s="2716"/>
      <c r="W111" s="2716"/>
      <c r="X111" s="2716"/>
      <c r="Y111" s="2716"/>
      <c r="Z111" s="2716"/>
      <c r="AA111" s="2716"/>
      <c r="AB111" s="2716"/>
      <c r="AC111" s="2716"/>
    </row>
    <row r="112" spans="1:29" ht="15.75" thickBot="1">
      <c r="A112" s="481"/>
      <c r="B112" s="490"/>
      <c r="C112" s="529">
        <v>100</v>
      </c>
      <c r="D112" s="491">
        <f>C112+$K37</f>
        <v>100</v>
      </c>
      <c r="E112" s="491">
        <f t="shared" ref="E112:M112" si="26">D112+$K37</f>
        <v>100</v>
      </c>
      <c r="F112" s="491">
        <f t="shared" si="26"/>
        <v>100</v>
      </c>
      <c r="G112" s="491">
        <f t="shared" si="26"/>
        <v>100</v>
      </c>
      <c r="H112" s="491">
        <f t="shared" si="26"/>
        <v>100</v>
      </c>
      <c r="I112" s="491">
        <f t="shared" si="26"/>
        <v>100</v>
      </c>
      <c r="J112" s="491">
        <f t="shared" si="26"/>
        <v>100</v>
      </c>
      <c r="K112" s="491">
        <f t="shared" si="26"/>
        <v>100</v>
      </c>
      <c r="L112" s="491">
        <f t="shared" si="26"/>
        <v>100</v>
      </c>
      <c r="M112" s="491">
        <f t="shared" si="26"/>
        <v>100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0"/>
      <c r="B113" s="485" t="s">
        <v>1822</v>
      </c>
      <c r="C113" s="501"/>
      <c r="D113" s="501"/>
      <c r="E113" s="501"/>
      <c r="F113" s="501"/>
      <c r="G113" s="501"/>
      <c r="H113" s="530"/>
      <c r="I113" s="530"/>
      <c r="J113" s="530"/>
      <c r="K113" s="531"/>
      <c r="L113" s="532"/>
      <c r="M113" s="533"/>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0"/>
      <c r="B114" s="490"/>
      <c r="C114" s="491">
        <v>100</v>
      </c>
      <c r="D114" s="491">
        <f>C114-$K38</f>
        <v>100</v>
      </c>
      <c r="E114" s="491">
        <f t="shared" ref="E114:M114" si="27">D114-$K38</f>
        <v>100</v>
      </c>
      <c r="F114" s="491">
        <f t="shared" si="27"/>
        <v>100</v>
      </c>
      <c r="G114" s="491">
        <f t="shared" si="27"/>
        <v>100</v>
      </c>
      <c r="H114" s="491">
        <f t="shared" si="27"/>
        <v>100</v>
      </c>
      <c r="I114" s="491">
        <f t="shared" si="27"/>
        <v>100</v>
      </c>
      <c r="J114" s="491">
        <f t="shared" si="27"/>
        <v>100</v>
      </c>
      <c r="K114" s="491">
        <f t="shared" si="27"/>
        <v>100</v>
      </c>
      <c r="L114" s="491">
        <f t="shared" si="27"/>
        <v>100</v>
      </c>
      <c r="M114" s="491">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6"/>
      <c r="B115" s="485" t="s">
        <v>1739</v>
      </c>
      <c r="C115" s="501"/>
      <c r="D115" s="501"/>
      <c r="E115" s="530"/>
      <c r="F115" s="530"/>
      <c r="G115" s="530"/>
      <c r="H115" s="530"/>
      <c r="I115" s="530"/>
      <c r="J115" s="530"/>
      <c r="K115" s="531"/>
      <c r="L115" s="532"/>
      <c r="M115" s="533"/>
      <c r="N115" s="2744"/>
      <c r="O115" s="2744"/>
      <c r="P115" s="2753"/>
      <c r="Q115" s="2730"/>
      <c r="R115" s="2716"/>
      <c r="S115" s="2716"/>
      <c r="T115" s="2716"/>
      <c r="U115" s="2716"/>
      <c r="V115" s="2716"/>
      <c r="W115" s="2716"/>
      <c r="X115" s="2716"/>
      <c r="Y115" s="2716"/>
      <c r="Z115" s="2716"/>
      <c r="AA115" s="2716"/>
      <c r="AB115" s="2716"/>
      <c r="AC115" s="2716"/>
    </row>
    <row r="116" spans="1:29" ht="15.75" thickBot="1">
      <c r="A116" s="481"/>
      <c r="B116" s="490"/>
      <c r="C116" s="491">
        <v>100</v>
      </c>
      <c r="D116" s="491">
        <f t="shared" ref="D116:M116" si="28">C116-$K39</f>
        <v>100</v>
      </c>
      <c r="E116" s="491">
        <f t="shared" si="28"/>
        <v>100</v>
      </c>
      <c r="F116" s="491">
        <f t="shared" si="28"/>
        <v>100</v>
      </c>
      <c r="G116" s="491">
        <f t="shared" si="28"/>
        <v>100</v>
      </c>
      <c r="H116" s="491">
        <f t="shared" si="28"/>
        <v>100</v>
      </c>
      <c r="I116" s="491">
        <f t="shared" si="28"/>
        <v>100</v>
      </c>
      <c r="J116" s="491">
        <f t="shared" si="28"/>
        <v>100</v>
      </c>
      <c r="K116" s="491">
        <f t="shared" si="28"/>
        <v>100</v>
      </c>
      <c r="L116" s="491">
        <f t="shared" si="28"/>
        <v>100</v>
      </c>
      <c r="M116" s="492">
        <f t="shared" si="28"/>
        <v>100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6"/>
      <c r="B117" s="485" t="s">
        <v>1740</v>
      </c>
      <c r="C117" s="501"/>
      <c r="D117" s="501"/>
      <c r="E117" s="501"/>
      <c r="F117" s="501"/>
      <c r="G117" s="501"/>
      <c r="H117" s="530"/>
      <c r="I117" s="530"/>
      <c r="J117" s="530"/>
      <c r="K117" s="531"/>
      <c r="L117" s="532"/>
      <c r="M117" s="533"/>
      <c r="N117" s="2744"/>
      <c r="O117" s="2744"/>
      <c r="P117" s="2753"/>
      <c r="Q117" s="2730"/>
      <c r="R117" s="2716"/>
      <c r="S117" s="2716"/>
      <c r="T117" s="2716"/>
      <c r="U117" s="2716"/>
      <c r="V117" s="2716"/>
      <c r="W117" s="2716"/>
      <c r="X117" s="2716"/>
      <c r="Y117" s="2716"/>
      <c r="Z117" s="2716"/>
      <c r="AA117" s="2716"/>
      <c r="AB117" s="2716"/>
      <c r="AC117" s="2716"/>
    </row>
    <row r="118" spans="1:29" ht="15.75" thickBot="1">
      <c r="A118" s="481"/>
      <c r="B118" s="490"/>
      <c r="C118" s="491">
        <v>100</v>
      </c>
      <c r="D118" s="491">
        <f>C118-$K40</f>
        <v>100</v>
      </c>
      <c r="E118" s="491">
        <f>D118-$K40</f>
        <v>100</v>
      </c>
      <c r="F118" s="491">
        <f>E118-$K40</f>
        <v>100</v>
      </c>
      <c r="G118" s="491">
        <f>F118-$K40</f>
        <v>100</v>
      </c>
      <c r="H118" s="491"/>
      <c r="I118" s="491"/>
      <c r="J118" s="491"/>
      <c r="K118" s="491"/>
      <c r="L118" s="491"/>
      <c r="M118" s="492"/>
      <c r="N118" s="2745"/>
      <c r="O118" s="2745"/>
      <c r="P118" s="2753"/>
      <c r="Q118" s="2730"/>
      <c r="R118" s="2716"/>
      <c r="S118" s="2716"/>
      <c r="T118" s="2716"/>
      <c r="U118" s="2716"/>
      <c r="V118" s="2716"/>
      <c r="W118" s="2716"/>
      <c r="X118" s="2716"/>
      <c r="Y118" s="2716"/>
      <c r="Z118" s="2716"/>
      <c r="AA118" s="2716"/>
      <c r="AB118" s="2716"/>
      <c r="AC118" s="2716"/>
    </row>
    <row r="119" spans="1:29" ht="15" thickTop="1">
      <c r="A119" s="546"/>
      <c r="B119" s="582" t="s">
        <v>1823</v>
      </c>
      <c r="C119" s="530"/>
      <c r="D119" s="530"/>
      <c r="E119" s="530"/>
      <c r="F119" s="530"/>
      <c r="G119" s="530"/>
      <c r="H119" s="530"/>
      <c r="I119" s="530"/>
      <c r="J119" s="530"/>
      <c r="K119" s="530"/>
      <c r="L119" s="1962"/>
      <c r="M119" s="1963"/>
      <c r="N119" s="2745"/>
      <c r="O119" s="2745"/>
      <c r="P119" s="2758"/>
      <c r="Q119" s="2759"/>
      <c r="R119" s="2716"/>
      <c r="S119" s="2716"/>
      <c r="T119" s="2716"/>
      <c r="U119" s="2716"/>
      <c r="V119" s="2716"/>
      <c r="W119" s="2716"/>
      <c r="X119" s="2716"/>
      <c r="Y119" s="2716"/>
      <c r="Z119" s="2716"/>
      <c r="AA119" s="2716"/>
      <c r="AB119" s="2716"/>
      <c r="AC119" s="2716"/>
    </row>
    <row r="120" spans="1:29" ht="15.75" thickBot="1">
      <c r="A120" s="481"/>
      <c r="B120" s="490"/>
      <c r="C120" s="529">
        <v>100</v>
      </c>
      <c r="D120" s="491">
        <f>C120-$K41</f>
        <v>100</v>
      </c>
      <c r="E120" s="491">
        <f t="shared" ref="E120:M120" si="29">D120-$K41</f>
        <v>100</v>
      </c>
      <c r="F120" s="491">
        <f t="shared" si="29"/>
        <v>100</v>
      </c>
      <c r="G120" s="491">
        <f t="shared" si="29"/>
        <v>100</v>
      </c>
      <c r="H120" s="491">
        <f t="shared" si="29"/>
        <v>100</v>
      </c>
      <c r="I120" s="491">
        <f t="shared" si="29"/>
        <v>100</v>
      </c>
      <c r="J120" s="491">
        <f t="shared" si="29"/>
        <v>100</v>
      </c>
      <c r="K120" s="491">
        <f t="shared" si="29"/>
        <v>100</v>
      </c>
      <c r="L120" s="491">
        <f t="shared" si="29"/>
        <v>100</v>
      </c>
      <c r="M120" s="491">
        <f t="shared" si="29"/>
        <v>100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0"/>
      <c r="B121" s="485" t="s">
        <v>1806</v>
      </c>
      <c r="C121" s="501"/>
      <c r="D121" s="501"/>
      <c r="E121" s="501"/>
      <c r="F121" s="530"/>
      <c r="G121" s="502"/>
      <c r="H121" s="502"/>
      <c r="I121" s="502"/>
      <c r="J121" s="502"/>
      <c r="K121" s="502"/>
      <c r="L121" s="503"/>
      <c r="M121" s="504"/>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0"/>
      <c r="B122" s="482"/>
      <c r="C122" s="507"/>
      <c r="D122" s="507"/>
      <c r="E122" s="507"/>
      <c r="F122" s="507"/>
      <c r="G122" s="507"/>
      <c r="H122" s="507"/>
      <c r="I122" s="507"/>
      <c r="J122" s="507"/>
      <c r="K122" s="507"/>
      <c r="L122" s="507"/>
      <c r="M122" s="507"/>
      <c r="N122" s="2746"/>
      <c r="O122" s="2746"/>
      <c r="P122" s="2754"/>
      <c r="Q122" s="2737"/>
      <c r="R122" s="2738"/>
      <c r="S122" s="2738"/>
      <c r="T122" s="2738"/>
      <c r="U122" s="2738"/>
      <c r="V122" s="2738"/>
      <c r="W122" s="2738"/>
      <c r="X122" s="2738"/>
      <c r="Y122" s="2738"/>
      <c r="Z122" s="2738"/>
      <c r="AA122" s="2738"/>
      <c r="AB122" s="2738"/>
      <c r="AC122" s="2738"/>
    </row>
    <row r="123" spans="1:29" ht="15" thickTop="1">
      <c r="A123" s="546"/>
      <c r="B123" s="485" t="s">
        <v>1742</v>
      </c>
      <c r="C123" s="501"/>
      <c r="D123" s="501"/>
      <c r="E123" s="501"/>
      <c r="F123" s="530"/>
      <c r="G123" s="530"/>
      <c r="H123" s="530"/>
      <c r="I123" s="530"/>
      <c r="J123" s="530"/>
      <c r="K123" s="531"/>
      <c r="L123" s="532"/>
      <c r="M123" s="533"/>
      <c r="N123" s="2744"/>
      <c r="O123" s="2744"/>
      <c r="P123" s="2753"/>
      <c r="Q123" s="2730"/>
      <c r="R123" s="2716"/>
      <c r="S123" s="2716"/>
      <c r="T123" s="2716"/>
      <c r="U123" s="2716"/>
      <c r="V123" s="2716"/>
      <c r="W123" s="2716"/>
      <c r="X123" s="2716"/>
      <c r="Y123" s="2716"/>
      <c r="Z123" s="2716"/>
      <c r="AA123" s="2716"/>
      <c r="AB123" s="2716"/>
      <c r="AC123" s="2716"/>
    </row>
    <row r="124" spans="1:29" ht="15.75" thickBot="1">
      <c r="A124" s="481"/>
      <c r="B124" s="490"/>
      <c r="C124" s="491">
        <v>100</v>
      </c>
      <c r="D124" s="491">
        <f t="shared" ref="D124:M124" si="30">C124-$K43</f>
        <v>100</v>
      </c>
      <c r="E124" s="491">
        <f t="shared" si="30"/>
        <v>100</v>
      </c>
      <c r="F124" s="491">
        <f t="shared" si="30"/>
        <v>100</v>
      </c>
      <c r="G124" s="491">
        <f t="shared" si="30"/>
        <v>100</v>
      </c>
      <c r="H124" s="491">
        <f t="shared" si="30"/>
        <v>100</v>
      </c>
      <c r="I124" s="491">
        <f t="shared" si="30"/>
        <v>100</v>
      </c>
      <c r="J124" s="491">
        <f t="shared" si="30"/>
        <v>100</v>
      </c>
      <c r="K124" s="491">
        <f t="shared" si="30"/>
        <v>100</v>
      </c>
      <c r="L124" s="491">
        <f t="shared" si="30"/>
        <v>100</v>
      </c>
      <c r="M124" s="492">
        <f t="shared" si="30"/>
        <v>100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6"/>
      <c r="B125" s="485" t="s">
        <v>1743</v>
      </c>
      <c r="C125" s="525" t="s">
        <v>1719</v>
      </c>
      <c r="D125" s="525" t="s">
        <v>1720</v>
      </c>
      <c r="E125" s="525" t="s">
        <v>1721</v>
      </c>
      <c r="F125" s="525" t="s">
        <v>1722</v>
      </c>
      <c r="G125" s="525" t="s">
        <v>1723</v>
      </c>
      <c r="H125" s="486"/>
      <c r="I125" s="486"/>
      <c r="J125" s="486"/>
      <c r="K125" s="487"/>
      <c r="L125" s="488"/>
      <c r="M125" s="489"/>
      <c r="N125" s="2744"/>
      <c r="O125" s="2744"/>
      <c r="P125" s="2754"/>
      <c r="Q125" s="2730"/>
      <c r="R125" s="2716"/>
      <c r="S125" s="2716"/>
      <c r="T125" s="2716"/>
      <c r="U125" s="2716"/>
      <c r="V125" s="2716"/>
      <c r="W125" s="2716"/>
      <c r="X125" s="2716"/>
      <c r="Y125" s="2716"/>
      <c r="Z125" s="2716"/>
      <c r="AA125" s="2716"/>
      <c r="AB125" s="2716"/>
      <c r="AC125" s="2716"/>
    </row>
    <row r="126" spans="1:29" ht="15.75" thickBot="1">
      <c r="A126" s="481"/>
      <c r="B126" s="490"/>
      <c r="C126" s="491">
        <v>100</v>
      </c>
      <c r="D126" s="491">
        <f>C126-$K44</f>
        <v>100</v>
      </c>
      <c r="E126" s="491">
        <f>D126-$K44</f>
        <v>100</v>
      </c>
      <c r="F126" s="491">
        <f>E126-$K44</f>
        <v>100</v>
      </c>
      <c r="G126" s="491">
        <f>F126-$K44</f>
        <v>100</v>
      </c>
      <c r="H126" s="491"/>
      <c r="I126" s="491"/>
      <c r="J126" s="491"/>
      <c r="K126" s="491"/>
      <c r="L126" s="491"/>
      <c r="M126" s="492"/>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0"/>
      <c r="B127" s="485">
        <f>B45</f>
        <v>111</v>
      </c>
      <c r="C127" s="501"/>
      <c r="D127" s="501"/>
      <c r="E127" s="501"/>
      <c r="F127" s="501"/>
      <c r="G127" s="501"/>
      <c r="H127" s="502"/>
      <c r="I127" s="502"/>
      <c r="J127" s="502"/>
      <c r="K127" s="502"/>
      <c r="L127" s="503"/>
      <c r="M127" s="504"/>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0"/>
      <c r="B128" s="490"/>
      <c r="C128" s="507"/>
      <c r="D128" s="483"/>
      <c r="E128" s="483"/>
      <c r="F128" s="483"/>
      <c r="G128" s="507"/>
      <c r="H128" s="509"/>
      <c r="I128" s="509"/>
      <c r="J128" s="509"/>
      <c r="K128" s="509"/>
      <c r="L128" s="509"/>
      <c r="M128" s="510"/>
      <c r="N128" s="2746"/>
      <c r="O128" s="2746"/>
      <c r="P128" s="2754"/>
      <c r="Q128" s="2737"/>
      <c r="R128" s="2738"/>
      <c r="S128" s="2738"/>
      <c r="T128" s="2738"/>
      <c r="U128" s="2738"/>
      <c r="V128" s="2738"/>
      <c r="W128" s="2738"/>
      <c r="X128" s="2738"/>
      <c r="Y128" s="2738"/>
      <c r="Z128" s="2738"/>
      <c r="AA128" s="2738"/>
      <c r="AB128" s="2738"/>
      <c r="AC128" s="2738"/>
    </row>
    <row r="129" spans="1:29" ht="15" thickTop="1">
      <c r="A129" s="546"/>
      <c r="B129" s="485">
        <f>B46</f>
        <v>111</v>
      </c>
      <c r="C129" s="501"/>
      <c r="D129" s="501"/>
      <c r="E129" s="501"/>
      <c r="F129" s="501"/>
      <c r="G129" s="530"/>
      <c r="H129" s="530"/>
      <c r="I129" s="530"/>
      <c r="J129" s="530"/>
      <c r="K129" s="531"/>
      <c r="L129" s="532"/>
      <c r="M129" s="533"/>
      <c r="N129" s="2744"/>
      <c r="O129" s="2744"/>
      <c r="P129" s="2753"/>
      <c r="Q129" s="2730"/>
      <c r="R129" s="2716"/>
      <c r="S129" s="2716"/>
      <c r="T129" s="2716"/>
      <c r="U129" s="2716"/>
      <c r="V129" s="2716"/>
      <c r="W129" s="2716"/>
      <c r="X129" s="2716"/>
      <c r="Y129" s="2716"/>
      <c r="Z129" s="2716"/>
      <c r="AA129" s="2716"/>
      <c r="AB129" s="2716"/>
      <c r="AC129" s="2716"/>
    </row>
    <row r="130" spans="1:29" ht="15.75" thickBot="1">
      <c r="A130" s="481"/>
      <c r="B130" s="490"/>
      <c r="C130" s="507"/>
      <c r="D130" s="507"/>
      <c r="E130" s="507"/>
      <c r="F130" s="507"/>
      <c r="G130" s="483"/>
      <c r="H130" s="483"/>
      <c r="I130" s="483"/>
      <c r="J130" s="483"/>
      <c r="K130" s="483"/>
      <c r="L130" s="483"/>
      <c r="M130" s="484"/>
      <c r="N130" s="2745"/>
      <c r="O130" s="2745"/>
      <c r="P130" s="2753"/>
      <c r="Q130" s="2730"/>
      <c r="R130" s="2716"/>
      <c r="S130" s="2716"/>
      <c r="T130" s="2716"/>
      <c r="U130" s="2716"/>
      <c r="V130" s="2716"/>
      <c r="W130" s="2716"/>
      <c r="X130" s="2716"/>
      <c r="Y130" s="2716"/>
      <c r="Z130" s="2716"/>
      <c r="AA130" s="2716"/>
      <c r="AB130" s="2716"/>
      <c r="AC130" s="2716"/>
    </row>
    <row r="131" spans="1:29" ht="15" thickTop="1">
      <c r="A131" s="546"/>
      <c r="B131" s="493">
        <f>B47</f>
        <v>111</v>
      </c>
      <c r="C131" s="470"/>
      <c r="D131" s="470"/>
      <c r="E131" s="470"/>
      <c r="F131" s="470"/>
      <c r="G131" s="534"/>
      <c r="H131" s="534"/>
      <c r="I131" s="534"/>
      <c r="J131" s="534"/>
      <c r="K131" s="470"/>
      <c r="L131" s="471"/>
      <c r="M131" s="537"/>
      <c r="N131" s="2744"/>
      <c r="O131" s="2744"/>
      <c r="P131" s="2753"/>
      <c r="Q131" s="2730"/>
      <c r="R131" s="2716"/>
      <c r="S131" s="2716"/>
      <c r="T131" s="2716"/>
      <c r="U131" s="2716"/>
      <c r="V131" s="2716"/>
      <c r="W131" s="2716"/>
      <c r="X131" s="2716"/>
      <c r="Y131" s="2716"/>
      <c r="Z131" s="2716"/>
      <c r="AA131" s="2716"/>
      <c r="AB131" s="2716"/>
      <c r="AC131" s="2716"/>
    </row>
    <row r="132" spans="1:29" ht="15.75" thickBot="1">
      <c r="A132" s="1922"/>
      <c r="B132" s="516"/>
      <c r="C132" s="517"/>
      <c r="D132" s="517"/>
      <c r="E132" s="517"/>
      <c r="F132" s="517"/>
      <c r="G132" s="538"/>
      <c r="H132" s="538"/>
      <c r="I132" s="538"/>
      <c r="J132" s="538"/>
      <c r="K132" s="538"/>
      <c r="L132" s="538"/>
      <c r="M132" s="539"/>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1658</v>
      </c>
      <c r="B1" s="1951" t="s">
        <v>1824</v>
      </c>
      <c r="C1" s="1221" t="s">
        <v>1660</v>
      </c>
      <c r="D1" s="1222"/>
      <c r="E1" s="3424"/>
      <c r="F1" s="1876"/>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1461</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1462</v>
      </c>
      <c r="B3" s="556">
        <f>IF(C2="——",C43,ROUND(B2*10000/D3,0))</f>
        <v>0</v>
      </c>
      <c r="C3" s="354" t="s">
        <v>1766</v>
      </c>
      <c r="D3" s="353">
        <f>IF(D1="",'数据-汇总表'!E3,SUMIF('数据-汇总表'!$C19:$C33,D1,'数据-汇总表'!$E19:$E33))</f>
        <v>105107.27999999982</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1767</v>
      </c>
      <c r="B4" s="356"/>
      <c r="C4" s="3663" t="s">
        <v>1768</v>
      </c>
      <c r="D4" s="3675"/>
      <c r="E4" s="3676" t="s">
        <v>1769</v>
      </c>
      <c r="F4" s="3677"/>
      <c r="G4" s="3663" t="s">
        <v>1770</v>
      </c>
      <c r="H4" s="3675"/>
      <c r="I4" s="3663" t="s">
        <v>1771</v>
      </c>
      <c r="J4" s="3675"/>
      <c r="K4" s="557" t="s">
        <v>1772</v>
      </c>
      <c r="L4" s="911"/>
      <c r="M4" s="912"/>
      <c r="N4" s="912"/>
      <c r="O4" s="912"/>
      <c r="P4" s="3678" t="s">
        <v>1773</v>
      </c>
      <c r="Q4" s="3679"/>
      <c r="R4" s="3684" t="s">
        <v>1769</v>
      </c>
      <c r="S4" s="3685"/>
      <c r="T4" s="3684" t="s">
        <v>1770</v>
      </c>
      <c r="U4" s="3685"/>
      <c r="V4" s="3671" t="s">
        <v>1771</v>
      </c>
      <c r="W4" s="3671"/>
      <c r="X4" s="1352"/>
      <c r="Y4" s="3684" t="s">
        <v>1773</v>
      </c>
      <c r="Z4" s="3685"/>
      <c r="AA4" s="3672" t="s">
        <v>1769</v>
      </c>
      <c r="AB4" s="3673" t="s">
        <v>1770</v>
      </c>
      <c r="AC4" s="3672" t="s">
        <v>1771</v>
      </c>
    </row>
    <row r="5" spans="1:29" ht="15">
      <c r="A5" s="358"/>
      <c r="B5" s="359"/>
      <c r="C5" s="3692" t="s">
        <v>1671</v>
      </c>
      <c r="D5" s="3693"/>
      <c r="E5" s="3699" t="s">
        <v>1672</v>
      </c>
      <c r="F5" s="3700"/>
      <c r="G5" s="3692" t="s">
        <v>1673</v>
      </c>
      <c r="H5" s="3693"/>
      <c r="I5" s="3692" t="s">
        <v>1674</v>
      </c>
      <c r="J5" s="3693"/>
      <c r="K5" s="557"/>
      <c r="L5" s="911"/>
      <c r="M5" s="912"/>
      <c r="N5" s="912"/>
      <c r="O5" s="912"/>
      <c r="P5" s="3680"/>
      <c r="Q5" s="3681"/>
      <c r="R5" s="3686"/>
      <c r="S5" s="3687"/>
      <c r="T5" s="3686"/>
      <c r="U5" s="3687"/>
      <c r="V5" s="3671"/>
      <c r="W5" s="3671"/>
      <c r="X5" s="1352"/>
      <c r="Y5" s="3686"/>
      <c r="Z5" s="3687"/>
      <c r="AA5" s="3673"/>
      <c r="AB5" s="3673"/>
      <c r="AC5" s="3673"/>
    </row>
    <row r="6" spans="1:29" ht="15.75" thickBot="1">
      <c r="A6" s="360"/>
      <c r="B6" s="361"/>
      <c r="C6" s="3690" t="s">
        <v>1675</v>
      </c>
      <c r="D6" s="3691"/>
      <c r="E6" s="3697" t="s">
        <v>1675</v>
      </c>
      <c r="F6" s="3698"/>
      <c r="G6" s="3690" t="s">
        <v>1675</v>
      </c>
      <c r="H6" s="3691"/>
      <c r="I6" s="3690" t="s">
        <v>1675</v>
      </c>
      <c r="J6" s="3691"/>
      <c r="K6" s="557" t="s">
        <v>1676</v>
      </c>
      <c r="L6" s="911"/>
      <c r="M6" s="912"/>
      <c r="N6" s="912"/>
      <c r="O6" s="912"/>
      <c r="P6" s="3682"/>
      <c r="Q6" s="3683"/>
      <c r="R6" s="3686"/>
      <c r="S6" s="3687"/>
      <c r="T6" s="3688"/>
      <c r="U6" s="3689"/>
      <c r="V6" s="3671"/>
      <c r="W6" s="3671"/>
      <c r="X6" s="1352"/>
      <c r="Y6" s="3688"/>
      <c r="Z6" s="3689"/>
      <c r="AA6" s="3674"/>
      <c r="AB6" s="3674"/>
      <c r="AC6" s="3674"/>
    </row>
    <row r="7" spans="1:29" s="108" customFormat="1" ht="15.75" thickBot="1">
      <c r="A7" s="362" t="s">
        <v>1677</v>
      </c>
      <c r="B7" s="363"/>
      <c r="C7" s="364">
        <f>'数据-取费表'!B2</f>
        <v>45576</v>
      </c>
      <c r="D7" s="365">
        <v>100</v>
      </c>
      <c r="E7" s="366"/>
      <c r="F7" s="367">
        <f>SUMIF(52:52,YEAR(E7)&amp;"-"&amp;MONTH(E7),53:53)</f>
        <v>0</v>
      </c>
      <c r="G7" s="366"/>
      <c r="H7" s="365">
        <f>SUMIF(52:52,YEAR(G7)&amp;"-"&amp;MONTH(G7),53:53)</f>
        <v>0</v>
      </c>
      <c r="I7" s="366"/>
      <c r="J7" s="365">
        <f>SUMIF(52:52,YEAR(I7)&amp;"-"&amp;MONTH(I7),53:53)</f>
        <v>0</v>
      </c>
      <c r="K7" s="558"/>
      <c r="L7" s="913"/>
      <c r="M7" s="914"/>
      <c r="N7" s="914"/>
      <c r="O7" s="914"/>
      <c r="P7" s="3694" t="s">
        <v>1678</v>
      </c>
      <c r="Q7" s="3696"/>
      <c r="R7" s="699" t="s">
        <v>14</v>
      </c>
      <c r="S7" s="700">
        <f t="shared" ref="S7:S15" si="0">F7</f>
        <v>0</v>
      </c>
      <c r="T7" s="699" t="s">
        <v>14</v>
      </c>
      <c r="U7" s="700">
        <f t="shared" ref="U7:U15" si="1">H7</f>
        <v>0</v>
      </c>
      <c r="V7" s="699" t="s">
        <v>14</v>
      </c>
      <c r="W7" s="700">
        <f t="shared" ref="W7:W15" si="2">J7</f>
        <v>0</v>
      </c>
      <c r="X7" s="701"/>
      <c r="Y7" s="3694" t="s">
        <v>1678</v>
      </c>
      <c r="Z7" s="3695"/>
      <c r="AA7" s="702" t="e">
        <f>D7/F7</f>
        <v>#DIV/0!</v>
      </c>
      <c r="AB7" s="702" t="e">
        <f>D7/H7</f>
        <v>#DIV/0!</v>
      </c>
      <c r="AC7" s="702"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58"/>
      <c r="L8" s="913"/>
      <c r="M8" s="914"/>
      <c r="N8" s="914"/>
      <c r="O8" s="914"/>
      <c r="P8" s="3694" t="s">
        <v>1681</v>
      </c>
      <c r="Q8" s="3695"/>
      <c r="R8" s="699" t="s">
        <v>14</v>
      </c>
      <c r="S8" s="700">
        <f t="shared" si="0"/>
        <v>100</v>
      </c>
      <c r="T8" s="699" t="s">
        <v>14</v>
      </c>
      <c r="U8" s="700">
        <f t="shared" si="1"/>
        <v>100</v>
      </c>
      <c r="V8" s="699" t="s">
        <v>14</v>
      </c>
      <c r="W8" s="700">
        <f t="shared" si="2"/>
        <v>100</v>
      </c>
      <c r="X8" s="701"/>
      <c r="Y8" s="3694" t="s">
        <v>1681</v>
      </c>
      <c r="Z8" s="3695"/>
      <c r="AA8" s="702">
        <f t="shared" ref="AA8:AA40" si="3">D8/F8</f>
        <v>1</v>
      </c>
      <c r="AB8" s="702">
        <f t="shared" ref="AB8:AB40" si="4">D8/H8</f>
        <v>1</v>
      </c>
      <c r="AC8" s="702">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58"/>
      <c r="L9" s="913"/>
      <c r="M9" s="914"/>
      <c r="N9" s="914"/>
      <c r="O9" s="915"/>
      <c r="P9" s="3666" t="s">
        <v>1684</v>
      </c>
      <c r="Q9" s="1340" t="str">
        <f t="shared" ref="Q9:Q15" si="6">B9</f>
        <v>用途</v>
      </c>
      <c r="R9" s="699" t="s">
        <v>14</v>
      </c>
      <c r="S9" s="700">
        <f t="shared" si="0"/>
        <v>100</v>
      </c>
      <c r="T9" s="699" t="s">
        <v>14</v>
      </c>
      <c r="U9" s="700">
        <f t="shared" si="1"/>
        <v>100</v>
      </c>
      <c r="V9" s="699" t="s">
        <v>14</v>
      </c>
      <c r="W9" s="700">
        <f t="shared" si="2"/>
        <v>100</v>
      </c>
      <c r="X9" s="701"/>
      <c r="Y9" s="3563" t="s">
        <v>1685</v>
      </c>
      <c r="Z9" s="52" t="str">
        <f t="shared" ref="Z9:Z15" si="7">Q9</f>
        <v>用途</v>
      </c>
      <c r="AA9" s="702">
        <f t="shared" si="3"/>
        <v>1</v>
      </c>
      <c r="AB9" s="702">
        <f t="shared" si="4"/>
        <v>1</v>
      </c>
      <c r="AC9" s="702">
        <f t="shared" si="5"/>
        <v>1</v>
      </c>
    </row>
    <row r="10" spans="1:29" s="378" customFormat="1" ht="27">
      <c r="A10" s="374"/>
      <c r="B10" s="375" t="s">
        <v>1686</v>
      </c>
      <c r="C10" s="3425"/>
      <c r="D10" s="127">
        <v>100</v>
      </c>
      <c r="E10" s="3425"/>
      <c r="F10" s="127">
        <f>SUMIF(59:59,E10,60:60)-SUMIF(59:59,C10,60:60)+100</f>
        <v>100</v>
      </c>
      <c r="G10" s="3426"/>
      <c r="H10" s="127">
        <f>SUMIF(59:59,G10,60:60)-SUMIF(59:59,C10,60:60)+100</f>
        <v>100</v>
      </c>
      <c r="I10" s="3425"/>
      <c r="J10" s="127">
        <f>SUMIF(59:59,I10,60:60)-SUMIF(59:59,C10,60:60)+100</f>
        <v>100</v>
      </c>
      <c r="K10" s="558"/>
      <c r="L10" s="916"/>
      <c r="M10" s="917"/>
      <c r="N10" s="917"/>
      <c r="O10" s="918"/>
      <c r="P10" s="3666"/>
      <c r="Q10" s="1340"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702">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59"/>
      <c r="L11" s="919"/>
      <c r="M11" s="912"/>
      <c r="N11" s="912"/>
      <c r="O11" s="920"/>
      <c r="P11" s="3666"/>
      <c r="Q11" s="1340" t="str">
        <f t="shared" si="6"/>
        <v>容积率</v>
      </c>
      <c r="R11" s="699" t="s">
        <v>14</v>
      </c>
      <c r="S11" s="700">
        <f t="shared" si="0"/>
        <v>100</v>
      </c>
      <c r="T11" s="699" t="s">
        <v>14</v>
      </c>
      <c r="U11" s="700">
        <f t="shared" si="1"/>
        <v>100</v>
      </c>
      <c r="V11" s="699" t="s">
        <v>14</v>
      </c>
      <c r="W11" s="700">
        <f t="shared" si="2"/>
        <v>100</v>
      </c>
      <c r="X11" s="701"/>
      <c r="Y11" s="3563"/>
      <c r="Z11" s="52" t="str">
        <f t="shared" si="7"/>
        <v>容积率</v>
      </c>
      <c r="AA11" s="702">
        <f t="shared" si="3"/>
        <v>1</v>
      </c>
      <c r="AB11" s="702">
        <f t="shared" si="4"/>
        <v>1</v>
      </c>
      <c r="AC11" s="702">
        <f t="shared" si="5"/>
        <v>1</v>
      </c>
    </row>
    <row r="12" spans="1:29" s="108" customFormat="1" ht="15">
      <c r="A12" s="382"/>
      <c r="B12" s="1889">
        <v>111</v>
      </c>
      <c r="C12" s="383"/>
      <c r="D12" s="384">
        <v>100</v>
      </c>
      <c r="E12" s="385"/>
      <c r="F12" s="127">
        <f>SUMIF(64:64,E12,65:65)-SUMIF(64:64,C12,65:65)+100</f>
        <v>100</v>
      </c>
      <c r="G12" s="1964"/>
      <c r="H12" s="127">
        <f>SUMIF(64:64,G12,65:65)-SUMIF(64:64,C12,65:65)+100</f>
        <v>100</v>
      </c>
      <c r="I12" s="420"/>
      <c r="J12" s="127">
        <f>SUMIF(64:64,I12,65:65)-SUMIF(64:64,C12,65:65)+100</f>
        <v>100</v>
      </c>
      <c r="K12" s="560"/>
      <c r="L12" s="913"/>
      <c r="M12" s="914"/>
      <c r="N12" s="914"/>
      <c r="O12" s="915"/>
      <c r="P12" s="3666"/>
      <c r="Q12" s="1340">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702">
        <f>D12/J12</f>
        <v>1</v>
      </c>
    </row>
    <row r="13" spans="1:29" ht="15">
      <c r="A13" s="379"/>
      <c r="B13" s="1889">
        <v>111</v>
      </c>
      <c r="C13" s="385"/>
      <c r="D13" s="386">
        <v>100</v>
      </c>
      <c r="E13" s="385"/>
      <c r="F13" s="127">
        <f>SUMIF(66:66,E13,67:67)-SUMIF(66:66,C13,67:67)+100</f>
        <v>100</v>
      </c>
      <c r="G13" s="1964"/>
      <c r="H13" s="386">
        <f>SUMIF(66:66,G13,67:67)-SUMIF(66:66,C13,67:67)+100</f>
        <v>100</v>
      </c>
      <c r="I13" s="420"/>
      <c r="J13" s="386">
        <f>SUMIF(66:66,I13,67:67)-SUMIF(66:66,C13,67:67)+100</f>
        <v>100</v>
      </c>
      <c r="K13" s="560"/>
      <c r="L13" s="921"/>
      <c r="M13" s="912"/>
      <c r="N13" s="912"/>
      <c r="O13" s="920"/>
      <c r="P13" s="3666"/>
      <c r="Q13" s="1340">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702">
        <f t="shared" si="5"/>
        <v>1</v>
      </c>
    </row>
    <row r="14" spans="1:29" ht="15.75" thickBot="1">
      <c r="A14" s="387"/>
      <c r="B14" s="1891">
        <v>111</v>
      </c>
      <c r="C14" s="388"/>
      <c r="D14" s="389">
        <v>100</v>
      </c>
      <c r="E14" s="388"/>
      <c r="F14" s="389">
        <f>SUMIF(68:68,E14,69:69)-SUMIF(68:68,C14,69:69)+100</f>
        <v>100</v>
      </c>
      <c r="G14" s="1964"/>
      <c r="H14" s="389">
        <f>SUMIF(68:68,G14,69:69)-SUMIF(68:68,C14,69:69)+100</f>
        <v>100</v>
      </c>
      <c r="I14" s="420"/>
      <c r="J14" s="389">
        <f>SUMIF(68:68,I14,69:69)-SUMIF(68:68,C14,69:69)+100</f>
        <v>100</v>
      </c>
      <c r="K14" s="560"/>
      <c r="L14" s="921"/>
      <c r="M14" s="912"/>
      <c r="N14" s="912"/>
      <c r="O14" s="920"/>
      <c r="P14" s="3666"/>
      <c r="Q14" s="1340">
        <f t="shared" si="6"/>
        <v>111</v>
      </c>
      <c r="R14" s="699" t="s">
        <v>14</v>
      </c>
      <c r="S14" s="700">
        <f t="shared" si="0"/>
        <v>100</v>
      </c>
      <c r="T14" s="699" t="s">
        <v>14</v>
      </c>
      <c r="U14" s="700">
        <f t="shared" si="1"/>
        <v>100</v>
      </c>
      <c r="V14" s="699" t="s">
        <v>14</v>
      </c>
      <c r="W14" s="700">
        <f t="shared" si="2"/>
        <v>100</v>
      </c>
      <c r="X14" s="701"/>
      <c r="Y14" s="3563"/>
      <c r="Z14" s="52">
        <f t="shared" si="7"/>
        <v>111</v>
      </c>
      <c r="AA14" s="702">
        <f t="shared" si="3"/>
        <v>1</v>
      </c>
      <c r="AB14" s="702">
        <f t="shared" si="4"/>
        <v>1</v>
      </c>
      <c r="AC14" s="702">
        <f t="shared" si="5"/>
        <v>1</v>
      </c>
    </row>
    <row r="15" spans="1:29" ht="57">
      <c r="A15" s="391" t="s">
        <v>1688</v>
      </c>
      <c r="B15" s="61" t="s">
        <v>1825</v>
      </c>
      <c r="C15" s="1965"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1"/>
      <c r="L15" s="921"/>
      <c r="M15" s="912"/>
      <c r="N15" s="912"/>
      <c r="O15" s="920"/>
      <c r="P15" s="3667" t="s">
        <v>1689</v>
      </c>
      <c r="Q15" s="1349" t="str">
        <f t="shared" si="6"/>
        <v>产业集聚程度</v>
      </c>
      <c r="R15" s="703" t="s">
        <v>14</v>
      </c>
      <c r="S15" s="704">
        <f t="shared" si="0"/>
        <v>100</v>
      </c>
      <c r="T15" s="703" t="s">
        <v>14</v>
      </c>
      <c r="U15" s="704">
        <f t="shared" si="1"/>
        <v>100</v>
      </c>
      <c r="V15" s="703" t="s">
        <v>14</v>
      </c>
      <c r="W15" s="704">
        <f t="shared" si="2"/>
        <v>100</v>
      </c>
      <c r="X15" s="1352"/>
      <c r="Y15" s="3667" t="s">
        <v>1689</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2"/>
      <c r="L16" s="921"/>
      <c r="M16" s="912"/>
      <c r="N16" s="912"/>
      <c r="O16" s="920"/>
      <c r="P16" s="3668"/>
      <c r="Q16" s="1349"/>
      <c r="R16" s="703"/>
      <c r="S16" s="704"/>
      <c r="T16" s="703"/>
      <c r="U16" s="704"/>
      <c r="V16" s="703"/>
      <c r="W16" s="704"/>
      <c r="X16" s="1352"/>
      <c r="Y16" s="3668"/>
      <c r="Z16" s="1353"/>
      <c r="AA16" s="1350">
        <v>1</v>
      </c>
      <c r="AB16" s="1350">
        <v>1</v>
      </c>
      <c r="AC16" s="1350">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1"/>
      <c r="L17" s="921"/>
      <c r="M17" s="912"/>
      <c r="N17" s="912"/>
      <c r="O17" s="920"/>
      <c r="P17" s="3668"/>
      <c r="Q17" s="1349" t="str">
        <f>B17</f>
        <v>交通便捷度</v>
      </c>
      <c r="R17" s="703" t="s">
        <v>14</v>
      </c>
      <c r="S17" s="704">
        <f>F17</f>
        <v>100</v>
      </c>
      <c r="T17" s="703" t="s">
        <v>14</v>
      </c>
      <c r="U17" s="704">
        <f>H17</f>
        <v>100</v>
      </c>
      <c r="V17" s="703" t="s">
        <v>14</v>
      </c>
      <c r="W17" s="704">
        <f>J17</f>
        <v>100</v>
      </c>
      <c r="X17" s="1352"/>
      <c r="Y17" s="3668"/>
      <c r="Z17" s="1353" t="str">
        <f>Q17</f>
        <v>交通便捷度</v>
      </c>
      <c r="AA17" s="1350">
        <f t="shared" si="3"/>
        <v>1</v>
      </c>
      <c r="AB17" s="1350">
        <f t="shared" si="4"/>
        <v>1</v>
      </c>
      <c r="AC17" s="1350">
        <f t="shared" si="5"/>
        <v>1</v>
      </c>
    </row>
    <row r="18" spans="1:29" ht="15">
      <c r="A18" s="379"/>
      <c r="B18" s="407"/>
      <c r="C18" s="1897"/>
      <c r="D18" s="401"/>
      <c r="E18" s="1899"/>
      <c r="F18" s="404"/>
      <c r="G18" s="1898"/>
      <c r="H18" s="399"/>
      <c r="I18" s="1899"/>
      <c r="J18" s="399"/>
      <c r="K18" s="562"/>
      <c r="L18" s="921"/>
      <c r="M18" s="912"/>
      <c r="N18" s="912"/>
      <c r="O18" s="920"/>
      <c r="P18" s="3668"/>
      <c r="Q18" s="1349"/>
      <c r="R18" s="703"/>
      <c r="S18" s="704"/>
      <c r="T18" s="703"/>
      <c r="U18" s="704"/>
      <c r="V18" s="703"/>
      <c r="W18" s="704"/>
      <c r="X18" s="1352"/>
      <c r="Y18" s="3668"/>
      <c r="Z18" s="1353"/>
      <c r="AA18" s="1350">
        <v>1</v>
      </c>
      <c r="AB18" s="1350">
        <v>1</v>
      </c>
      <c r="AC18" s="1350">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1"/>
      <c r="L19" s="921"/>
      <c r="M19" s="912"/>
      <c r="N19" s="912"/>
      <c r="O19" s="920"/>
      <c r="P19" s="3668"/>
      <c r="Q19" s="1349" t="str">
        <f>B19</f>
        <v>公共配套设施</v>
      </c>
      <c r="R19" s="703" t="s">
        <v>14</v>
      </c>
      <c r="S19" s="704">
        <f>F19</f>
        <v>100</v>
      </c>
      <c r="T19" s="703" t="s">
        <v>14</v>
      </c>
      <c r="U19" s="704">
        <f>H19</f>
        <v>100</v>
      </c>
      <c r="V19" s="703" t="s">
        <v>14</v>
      </c>
      <c r="W19" s="704">
        <f>J19</f>
        <v>100</v>
      </c>
      <c r="X19" s="1352"/>
      <c r="Y19" s="3668"/>
      <c r="Z19" s="1353" t="str">
        <f>Q19</f>
        <v>公共配套设施</v>
      </c>
      <c r="AA19" s="1350">
        <f t="shared" si="3"/>
        <v>1</v>
      </c>
      <c r="AB19" s="1350">
        <f t="shared" si="4"/>
        <v>1</v>
      </c>
      <c r="AC19" s="1350">
        <f t="shared" si="5"/>
        <v>1</v>
      </c>
    </row>
    <row r="20" spans="1:29" ht="15">
      <c r="A20" s="379"/>
      <c r="B20" s="407"/>
      <c r="C20" s="398"/>
      <c r="D20" s="399"/>
      <c r="E20" s="1894"/>
      <c r="F20" s="400"/>
      <c r="G20" s="1893"/>
      <c r="H20" s="399"/>
      <c r="I20" s="1894"/>
      <c r="J20" s="399"/>
      <c r="K20" s="562"/>
      <c r="L20" s="921"/>
      <c r="M20" s="912"/>
      <c r="N20" s="912"/>
      <c r="O20" s="920"/>
      <c r="P20" s="3668"/>
      <c r="Q20" s="1349"/>
      <c r="R20" s="703"/>
      <c r="S20" s="704"/>
      <c r="T20" s="703"/>
      <c r="U20" s="704"/>
      <c r="V20" s="703"/>
      <c r="W20" s="704"/>
      <c r="X20" s="1352"/>
      <c r="Y20" s="3668"/>
      <c r="Z20" s="1353"/>
      <c r="AA20" s="1350">
        <v>1</v>
      </c>
      <c r="AB20" s="1350">
        <v>1</v>
      </c>
      <c r="AC20" s="1350">
        <v>1</v>
      </c>
    </row>
    <row r="21" spans="1:29" ht="28.5">
      <c r="A21" s="379"/>
      <c r="B21" s="1129"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1"/>
      <c r="L21" s="921"/>
      <c r="M21" s="912"/>
      <c r="N21" s="912"/>
      <c r="O21" s="920"/>
      <c r="P21" s="3668"/>
      <c r="Q21" s="1349" t="str">
        <f>B21</f>
        <v>基础设施水平</v>
      </c>
      <c r="R21" s="703" t="s">
        <v>14</v>
      </c>
      <c r="S21" s="704">
        <f>F21</f>
        <v>100</v>
      </c>
      <c r="T21" s="703" t="s">
        <v>14</v>
      </c>
      <c r="U21" s="704">
        <f>H21</f>
        <v>100</v>
      </c>
      <c r="V21" s="703" t="s">
        <v>14</v>
      </c>
      <c r="W21" s="704">
        <f>J21</f>
        <v>100</v>
      </c>
      <c r="X21" s="1352"/>
      <c r="Y21" s="3668"/>
      <c r="Z21" s="1353" t="str">
        <f>Q21</f>
        <v>基础设施水平</v>
      </c>
      <c r="AA21" s="1350">
        <f t="shared" ref="AA21" si="8">D21/F21</f>
        <v>1</v>
      </c>
      <c r="AB21" s="1350">
        <f t="shared" ref="AB21" si="9">D21/H21</f>
        <v>1</v>
      </c>
      <c r="AC21" s="1350">
        <f t="shared" ref="AC21" si="10">D21/J21</f>
        <v>1</v>
      </c>
    </row>
    <row r="22" spans="1:29" ht="15">
      <c r="A22" s="379"/>
      <c r="B22" s="1129"/>
      <c r="C22" s="1897"/>
      <c r="D22" s="399"/>
      <c r="E22" s="398"/>
      <c r="F22" s="400"/>
      <c r="G22" s="398"/>
      <c r="H22" s="399"/>
      <c r="I22" s="398"/>
      <c r="J22" s="399"/>
      <c r="K22" s="1128"/>
      <c r="L22" s="921"/>
      <c r="M22" s="912"/>
      <c r="N22" s="912"/>
      <c r="O22" s="920"/>
      <c r="P22" s="3668"/>
      <c r="Q22" s="1349"/>
      <c r="R22" s="703"/>
      <c r="S22" s="704"/>
      <c r="T22" s="703"/>
      <c r="U22" s="704"/>
      <c r="V22" s="703"/>
      <c r="W22" s="704"/>
      <c r="X22" s="1352"/>
      <c r="Y22" s="3668"/>
      <c r="Z22" s="1353"/>
      <c r="AA22" s="1350">
        <v>1</v>
      </c>
      <c r="AB22" s="1350">
        <v>1</v>
      </c>
      <c r="AC22" s="1350">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1"/>
      <c r="L23" s="921"/>
      <c r="M23" s="912"/>
      <c r="N23" s="912"/>
      <c r="O23" s="920"/>
      <c r="P23" s="3668"/>
      <c r="Q23" s="1349" t="str">
        <f>B23</f>
        <v>环境质量</v>
      </c>
      <c r="R23" s="703" t="s">
        <v>14</v>
      </c>
      <c r="S23" s="704">
        <f>F23</f>
        <v>100</v>
      </c>
      <c r="T23" s="703" t="s">
        <v>14</v>
      </c>
      <c r="U23" s="704">
        <f>H23</f>
        <v>100</v>
      </c>
      <c r="V23" s="703" t="s">
        <v>14</v>
      </c>
      <c r="W23" s="704">
        <f>J23</f>
        <v>100</v>
      </c>
      <c r="X23" s="1352"/>
      <c r="Y23" s="3668"/>
      <c r="Z23" s="1353" t="str">
        <f>Q23</f>
        <v>环境质量</v>
      </c>
      <c r="AA23" s="1350">
        <f t="shared" si="3"/>
        <v>1</v>
      </c>
      <c r="AB23" s="1350">
        <f t="shared" si="4"/>
        <v>1</v>
      </c>
      <c r="AC23" s="1350">
        <f t="shared" si="5"/>
        <v>1</v>
      </c>
    </row>
    <row r="24" spans="1:29" ht="15">
      <c r="A24" s="379"/>
      <c r="B24" s="1129"/>
      <c r="C24" s="398"/>
      <c r="D24" s="399"/>
      <c r="E24" s="1894"/>
      <c r="F24" s="400"/>
      <c r="G24" s="1893"/>
      <c r="H24" s="399"/>
      <c r="I24" s="1894"/>
      <c r="J24" s="399"/>
      <c r="K24" s="562"/>
      <c r="L24" s="921"/>
      <c r="M24" s="912"/>
      <c r="N24" s="912"/>
      <c r="O24" s="920"/>
      <c r="P24" s="3668"/>
      <c r="Q24" s="1349"/>
      <c r="R24" s="703"/>
      <c r="S24" s="704"/>
      <c r="T24" s="703"/>
      <c r="U24" s="704"/>
      <c r="V24" s="703"/>
      <c r="W24" s="704"/>
      <c r="X24" s="1352"/>
      <c r="Y24" s="3668"/>
      <c r="Z24" s="1353"/>
      <c r="AA24" s="1350">
        <v>1</v>
      </c>
      <c r="AB24" s="1350">
        <v>1</v>
      </c>
      <c r="AC24" s="1350">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0"/>
      <c r="L25" s="921"/>
      <c r="M25" s="912"/>
      <c r="N25" s="912"/>
      <c r="O25" s="920"/>
      <c r="P25" s="3668"/>
      <c r="Q25" s="1349">
        <f>B25</f>
        <v>111</v>
      </c>
      <c r="R25" s="703" t="s">
        <v>14</v>
      </c>
      <c r="S25" s="704">
        <f>F25</f>
        <v>100</v>
      </c>
      <c r="T25" s="703" t="s">
        <v>14</v>
      </c>
      <c r="U25" s="704">
        <f>H25</f>
        <v>100</v>
      </c>
      <c r="V25" s="703" t="s">
        <v>14</v>
      </c>
      <c r="W25" s="704">
        <f>J25</f>
        <v>100</v>
      </c>
      <c r="X25" s="1352"/>
      <c r="Y25" s="3668"/>
      <c r="Z25" s="1353">
        <f>Q25</f>
        <v>111</v>
      </c>
      <c r="AA25" s="1350">
        <f t="shared" si="3"/>
        <v>1</v>
      </c>
      <c r="AB25" s="1350">
        <f t="shared" si="4"/>
        <v>1</v>
      </c>
      <c r="AC25" s="1350">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0"/>
      <c r="L26" s="921"/>
      <c r="M26" s="912"/>
      <c r="N26" s="912"/>
      <c r="O26" s="920"/>
      <c r="P26" s="3668"/>
      <c r="Q26" s="1349">
        <f t="shared" ref="Q26:Q40" si="11">B26</f>
        <v>111</v>
      </c>
      <c r="R26" s="703" t="s">
        <v>14</v>
      </c>
      <c r="S26" s="704">
        <f>F26</f>
        <v>100</v>
      </c>
      <c r="T26" s="703" t="s">
        <v>14</v>
      </c>
      <c r="U26" s="704">
        <f>H26</f>
        <v>100</v>
      </c>
      <c r="V26" s="703" t="s">
        <v>14</v>
      </c>
      <c r="W26" s="704">
        <f>J26</f>
        <v>100</v>
      </c>
      <c r="X26" s="1352"/>
      <c r="Y26" s="3668"/>
      <c r="Z26" s="1353">
        <f>Q26</f>
        <v>111</v>
      </c>
      <c r="AA26" s="1350">
        <f t="shared" si="3"/>
        <v>1</v>
      </c>
      <c r="AB26" s="1350">
        <f t="shared" si="4"/>
        <v>1</v>
      </c>
      <c r="AC26" s="1350">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0"/>
      <c r="L27" s="913"/>
      <c r="M27" s="914"/>
      <c r="N27" s="914"/>
      <c r="O27" s="915"/>
      <c r="P27" s="3668"/>
      <c r="Q27" s="1340">
        <f t="shared" si="11"/>
        <v>111</v>
      </c>
      <c r="R27" s="699" t="s">
        <v>14</v>
      </c>
      <c r="S27" s="700">
        <f>F27</f>
        <v>100</v>
      </c>
      <c r="T27" s="699" t="s">
        <v>14</v>
      </c>
      <c r="U27" s="700">
        <f>H27</f>
        <v>100</v>
      </c>
      <c r="V27" s="699" t="s">
        <v>14</v>
      </c>
      <c r="W27" s="700">
        <f>J27</f>
        <v>100</v>
      </c>
      <c r="X27" s="701"/>
      <c r="Y27" s="3668"/>
      <c r="Z27" s="52">
        <f>Q27</f>
        <v>111</v>
      </c>
      <c r="AA27" s="1350">
        <f>D27/F27</f>
        <v>1</v>
      </c>
      <c r="AB27" s="1350">
        <f>D27/H27</f>
        <v>1</v>
      </c>
      <c r="AC27" s="1350">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0"/>
      <c r="L28" s="921"/>
      <c r="M28" s="912"/>
      <c r="N28" s="912"/>
      <c r="O28" s="920"/>
      <c r="P28" s="3668"/>
      <c r="Q28" s="1349">
        <f t="shared" si="11"/>
        <v>111</v>
      </c>
      <c r="R28" s="703" t="s">
        <v>14</v>
      </c>
      <c r="S28" s="704">
        <f t="shared" ref="S28:S40" si="12">F28</f>
        <v>100</v>
      </c>
      <c r="T28" s="703" t="s">
        <v>14</v>
      </c>
      <c r="U28" s="704">
        <f t="shared" ref="U28:U40" si="13">H28</f>
        <v>100</v>
      </c>
      <c r="V28" s="703" t="s">
        <v>14</v>
      </c>
      <c r="W28" s="704">
        <f t="shared" ref="W28:W40" si="14">J28</f>
        <v>100</v>
      </c>
      <c r="X28" s="1352"/>
      <c r="Y28" s="3668"/>
      <c r="Z28" s="1353">
        <f t="shared" ref="Z28:Z40" si="15">Q28</f>
        <v>111</v>
      </c>
      <c r="AA28" s="1350">
        <f t="shared" si="3"/>
        <v>1</v>
      </c>
      <c r="AB28" s="1350">
        <f t="shared" si="4"/>
        <v>1</v>
      </c>
      <c r="AC28" s="1350">
        <f t="shared" si="5"/>
        <v>1</v>
      </c>
    </row>
    <row r="29" spans="1:29" ht="28.5">
      <c r="A29" s="417" t="s">
        <v>1692</v>
      </c>
      <c r="B29" s="63" t="s">
        <v>1815</v>
      </c>
      <c r="C29" s="1961"/>
      <c r="D29" s="418">
        <v>100</v>
      </c>
      <c r="E29" s="1961"/>
      <c r="F29" s="412">
        <f>SUMIF(88:88,E29,89:89)-SUMIF(88:88,C29,89:89)+100</f>
        <v>100</v>
      </c>
      <c r="G29" s="1961"/>
      <c r="H29" s="386">
        <f>SUMIF(88:88,G29,89:89)-SUMIF(88:88,C29,89:89)+100</f>
        <v>100</v>
      </c>
      <c r="I29" s="1961"/>
      <c r="J29" s="418">
        <f>SUMIF(88:88,I29,89:89)-SUMIF(88:88,C29,89:89)+100</f>
        <v>100</v>
      </c>
      <c r="K29" s="559"/>
      <c r="L29" s="921"/>
      <c r="M29" s="912"/>
      <c r="N29" s="912"/>
      <c r="O29" s="920"/>
      <c r="P29" s="3669" t="s">
        <v>1694</v>
      </c>
      <c r="Q29" s="1349" t="str">
        <f t="shared" si="11"/>
        <v>建筑类型</v>
      </c>
      <c r="R29" s="703" t="s">
        <v>14</v>
      </c>
      <c r="S29" s="704">
        <f t="shared" si="12"/>
        <v>100</v>
      </c>
      <c r="T29" s="703" t="s">
        <v>14</v>
      </c>
      <c r="U29" s="704">
        <f t="shared" si="13"/>
        <v>100</v>
      </c>
      <c r="V29" s="703" t="s">
        <v>14</v>
      </c>
      <c r="W29" s="704">
        <f t="shared" si="14"/>
        <v>100</v>
      </c>
      <c r="X29" s="1352"/>
      <c r="Y29" s="3670" t="s">
        <v>1694</v>
      </c>
      <c r="Z29" s="1353" t="str">
        <f t="shared" si="15"/>
        <v>建筑类型</v>
      </c>
      <c r="AA29" s="1350">
        <f t="shared" si="3"/>
        <v>1</v>
      </c>
      <c r="AB29" s="1350">
        <f t="shared" si="4"/>
        <v>1</v>
      </c>
      <c r="AC29" s="1350">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0"/>
      <c r="L30" s="919"/>
      <c r="M30" s="922"/>
      <c r="N30" s="922"/>
      <c r="O30" s="923"/>
      <c r="P30" s="3670"/>
      <c r="Q30" s="705" t="str">
        <f t="shared" si="11"/>
        <v>项目建筑规模</v>
      </c>
      <c r="R30" s="706" t="s">
        <v>14</v>
      </c>
      <c r="S30" s="707" t="e">
        <f t="shared" si="12"/>
        <v>#N/A</v>
      </c>
      <c r="T30" s="706" t="s">
        <v>14</v>
      </c>
      <c r="U30" s="707" t="e">
        <f t="shared" si="13"/>
        <v>#N/A</v>
      </c>
      <c r="V30" s="706" t="s">
        <v>14</v>
      </c>
      <c r="W30" s="707" t="e">
        <f t="shared" si="14"/>
        <v>#N/A</v>
      </c>
      <c r="X30" s="708"/>
      <c r="Y30" s="3670"/>
      <c r="Z30" s="709" t="str">
        <f t="shared" si="15"/>
        <v>项目建筑规模</v>
      </c>
      <c r="AA30" s="1350" t="e">
        <f t="shared" si="3"/>
        <v>#N/A</v>
      </c>
      <c r="AB30" s="1350" t="e">
        <f t="shared" si="4"/>
        <v>#N/A</v>
      </c>
      <c r="AC30" s="1350"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59"/>
      <c r="L31" s="921"/>
      <c r="M31" s="912"/>
      <c r="N31" s="912"/>
      <c r="O31" s="920"/>
      <c r="P31" s="3670"/>
      <c r="Q31" s="1349" t="str">
        <f t="shared" si="11"/>
        <v>建筑结构</v>
      </c>
      <c r="R31" s="703" t="s">
        <v>14</v>
      </c>
      <c r="S31" s="704">
        <f t="shared" si="12"/>
        <v>100</v>
      </c>
      <c r="T31" s="703" t="s">
        <v>14</v>
      </c>
      <c r="U31" s="704">
        <f t="shared" si="13"/>
        <v>100</v>
      </c>
      <c r="V31" s="703" t="s">
        <v>14</v>
      </c>
      <c r="W31" s="704">
        <f t="shared" si="14"/>
        <v>100</v>
      </c>
      <c r="X31" s="1352"/>
      <c r="Y31" s="3670"/>
      <c r="Z31" s="1353" t="str">
        <f t="shared" si="15"/>
        <v>建筑结构</v>
      </c>
      <c r="AA31" s="1350">
        <f t="shared" si="3"/>
        <v>1</v>
      </c>
      <c r="AB31" s="1350">
        <f t="shared" si="4"/>
        <v>1</v>
      </c>
      <c r="AC31" s="1350">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59"/>
      <c r="L32" s="921"/>
      <c r="M32" s="912"/>
      <c r="N32" s="912"/>
      <c r="O32" s="920"/>
      <c r="P32" s="3670"/>
      <c r="Q32" s="1349" t="str">
        <f t="shared" si="11"/>
        <v>公共部分装修</v>
      </c>
      <c r="R32" s="703" t="s">
        <v>14</v>
      </c>
      <c r="S32" s="704">
        <f t="shared" si="12"/>
        <v>100</v>
      </c>
      <c r="T32" s="703" t="s">
        <v>14</v>
      </c>
      <c r="U32" s="704">
        <f t="shared" si="13"/>
        <v>100</v>
      </c>
      <c r="V32" s="703" t="s">
        <v>14</v>
      </c>
      <c r="W32" s="704">
        <f t="shared" si="14"/>
        <v>100</v>
      </c>
      <c r="X32" s="1352"/>
      <c r="Y32" s="3670"/>
      <c r="Z32" s="1353" t="str">
        <f t="shared" si="15"/>
        <v>公共部分装修</v>
      </c>
      <c r="AA32" s="1350">
        <f t="shared" si="3"/>
        <v>1</v>
      </c>
      <c r="AB32" s="1350">
        <f t="shared" si="4"/>
        <v>1</v>
      </c>
      <c r="AC32" s="1350">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59"/>
      <c r="L33" s="921"/>
      <c r="M33" s="912"/>
      <c r="N33" s="912"/>
      <c r="O33" s="920"/>
      <c r="P33" s="3670"/>
      <c r="Q33" s="1349" t="str">
        <f t="shared" si="11"/>
        <v>成新度</v>
      </c>
      <c r="R33" s="703" t="s">
        <v>14</v>
      </c>
      <c r="S33" s="704" t="e">
        <f t="shared" si="12"/>
        <v>#N/A</v>
      </c>
      <c r="T33" s="703" t="s">
        <v>14</v>
      </c>
      <c r="U33" s="704" t="e">
        <f t="shared" si="13"/>
        <v>#N/A</v>
      </c>
      <c r="V33" s="703" t="s">
        <v>14</v>
      </c>
      <c r="W33" s="704" t="e">
        <f t="shared" si="14"/>
        <v>#N/A</v>
      </c>
      <c r="X33" s="1352"/>
      <c r="Y33" s="3670"/>
      <c r="Z33" s="1353" t="str">
        <f t="shared" si="15"/>
        <v>成新度</v>
      </c>
      <c r="AA33" s="1350" t="e">
        <f t="shared" si="3"/>
        <v>#N/A</v>
      </c>
      <c r="AB33" s="1350" t="e">
        <f t="shared" si="4"/>
        <v>#N/A</v>
      </c>
      <c r="AC33" s="1350"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59"/>
      <c r="L34" s="913"/>
      <c r="M34" s="914"/>
      <c r="N34" s="914"/>
      <c r="O34" s="915"/>
      <c r="P34" s="3670"/>
      <c r="Q34" s="1340" t="str">
        <f t="shared" si="11"/>
        <v>物业管理</v>
      </c>
      <c r="R34" s="699" t="s">
        <v>14</v>
      </c>
      <c r="S34" s="700">
        <f t="shared" si="12"/>
        <v>100</v>
      </c>
      <c r="T34" s="699" t="s">
        <v>14</v>
      </c>
      <c r="U34" s="700">
        <f t="shared" si="13"/>
        <v>100</v>
      </c>
      <c r="V34" s="699" t="s">
        <v>14</v>
      </c>
      <c r="W34" s="700">
        <f t="shared" si="14"/>
        <v>100</v>
      </c>
      <c r="X34" s="701"/>
      <c r="Y34" s="3670"/>
      <c r="Z34" s="52" t="str">
        <f t="shared" si="15"/>
        <v>物业管理</v>
      </c>
      <c r="AA34" s="702">
        <f t="shared" si="3"/>
        <v>1</v>
      </c>
      <c r="AB34" s="702">
        <f t="shared" si="4"/>
        <v>1</v>
      </c>
      <c r="AC34" s="702">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59"/>
      <c r="L35" s="921"/>
      <c r="M35" s="912"/>
      <c r="N35" s="912"/>
      <c r="O35" s="920"/>
      <c r="P35" s="3670" t="s">
        <v>1694</v>
      </c>
      <c r="Q35" s="1349" t="str">
        <f t="shared" si="11"/>
        <v>市政基础设施</v>
      </c>
      <c r="R35" s="703" t="s">
        <v>14</v>
      </c>
      <c r="S35" s="704">
        <f t="shared" si="12"/>
        <v>100</v>
      </c>
      <c r="T35" s="703" t="s">
        <v>14</v>
      </c>
      <c r="U35" s="704">
        <f t="shared" si="13"/>
        <v>100</v>
      </c>
      <c r="V35" s="703" t="s">
        <v>14</v>
      </c>
      <c r="W35" s="704">
        <f t="shared" si="14"/>
        <v>100</v>
      </c>
      <c r="X35" s="1352"/>
      <c r="Y35" s="3670" t="s">
        <v>1694</v>
      </c>
      <c r="Z35" s="1353" t="str">
        <f t="shared" si="15"/>
        <v>市政基础设施</v>
      </c>
      <c r="AA35" s="1350">
        <f t="shared" si="3"/>
        <v>1</v>
      </c>
      <c r="AB35" s="1350">
        <f t="shared" si="4"/>
        <v>1</v>
      </c>
      <c r="AC35" s="1350">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59"/>
      <c r="L36" s="921"/>
      <c r="M36" s="912"/>
      <c r="N36" s="912"/>
      <c r="O36" s="920"/>
      <c r="P36" s="3670"/>
      <c r="Q36" s="1349" t="str">
        <f t="shared" si="11"/>
        <v>内部装修</v>
      </c>
      <c r="R36" s="703" t="s">
        <v>14</v>
      </c>
      <c r="S36" s="704">
        <f t="shared" si="12"/>
        <v>100</v>
      </c>
      <c r="T36" s="703" t="s">
        <v>14</v>
      </c>
      <c r="U36" s="704">
        <f t="shared" si="13"/>
        <v>100</v>
      </c>
      <c r="V36" s="703" t="s">
        <v>14</v>
      </c>
      <c r="W36" s="704">
        <f t="shared" si="14"/>
        <v>100</v>
      </c>
      <c r="X36" s="1352"/>
      <c r="Y36" s="3670"/>
      <c r="Z36" s="1353" t="str">
        <f t="shared" si="15"/>
        <v>内部装修</v>
      </c>
      <c r="AA36" s="1350">
        <f t="shared" si="3"/>
        <v>1</v>
      </c>
      <c r="AB36" s="1350">
        <f t="shared" si="4"/>
        <v>1</v>
      </c>
      <c r="AC36" s="1350">
        <f t="shared" si="5"/>
        <v>1</v>
      </c>
    </row>
    <row r="37" spans="1:29" ht="15">
      <c r="A37" s="423"/>
      <c r="B37" s="375" t="s">
        <v>1826</v>
      </c>
      <c r="C37" s="563"/>
      <c r="D37" s="386">
        <v>100</v>
      </c>
      <c r="E37" s="563"/>
      <c r="F37" s="412">
        <f>SUMIF(106:106,E37,107:107)-SUMIF(106:106,C37,107:107)+100</f>
        <v>100</v>
      </c>
      <c r="G37" s="563"/>
      <c r="H37" s="386">
        <f>SUMIF(106:106,G37,107:107)-SUMIF(106:106,C37,107:107)+100</f>
        <v>100</v>
      </c>
      <c r="I37" s="563"/>
      <c r="J37" s="386">
        <f>SUMIF(106:106,I37,107:107)-SUMIF(106:106,C37,107:107)+100</f>
        <v>100</v>
      </c>
      <c r="K37" s="559"/>
      <c r="L37" s="921"/>
      <c r="M37" s="912"/>
      <c r="N37" s="912"/>
      <c r="O37" s="920"/>
      <c r="P37" s="3670"/>
      <c r="Q37" s="1349" t="str">
        <f t="shared" si="11"/>
        <v>内部装修状况</v>
      </c>
      <c r="R37" s="703" t="s">
        <v>14</v>
      </c>
      <c r="S37" s="704">
        <f t="shared" si="12"/>
        <v>100</v>
      </c>
      <c r="T37" s="703" t="s">
        <v>14</v>
      </c>
      <c r="U37" s="704">
        <f t="shared" si="13"/>
        <v>100</v>
      </c>
      <c r="V37" s="703" t="s">
        <v>14</v>
      </c>
      <c r="W37" s="704">
        <f t="shared" si="14"/>
        <v>100</v>
      </c>
      <c r="X37" s="1352"/>
      <c r="Y37" s="3670"/>
      <c r="Z37" s="1353" t="str">
        <f t="shared" si="15"/>
        <v>内部装修状况</v>
      </c>
      <c r="AA37" s="1350">
        <f t="shared" si="3"/>
        <v>1</v>
      </c>
      <c r="AB37" s="1350">
        <f t="shared" si="4"/>
        <v>1</v>
      </c>
      <c r="AC37" s="1350">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0"/>
      <c r="L38" s="919"/>
      <c r="M38" s="922"/>
      <c r="N38" s="922"/>
      <c r="O38" s="923"/>
      <c r="P38" s="3670"/>
      <c r="Q38" s="705">
        <f t="shared" si="11"/>
        <v>111</v>
      </c>
      <c r="R38" s="706" t="s">
        <v>14</v>
      </c>
      <c r="S38" s="707">
        <f t="shared" si="12"/>
        <v>100</v>
      </c>
      <c r="T38" s="706" t="s">
        <v>14</v>
      </c>
      <c r="U38" s="707">
        <f t="shared" si="13"/>
        <v>100</v>
      </c>
      <c r="V38" s="706" t="s">
        <v>14</v>
      </c>
      <c r="W38" s="707">
        <f t="shared" si="14"/>
        <v>100</v>
      </c>
      <c r="X38" s="708"/>
      <c r="Y38" s="3670"/>
      <c r="Z38" s="709">
        <f t="shared" si="15"/>
        <v>111</v>
      </c>
      <c r="AA38" s="1350">
        <f t="shared" si="3"/>
        <v>1</v>
      </c>
      <c r="AB38" s="1350">
        <f t="shared" si="4"/>
        <v>1</v>
      </c>
      <c r="AC38" s="1350">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0"/>
      <c r="L39" s="921"/>
      <c r="M39" s="912"/>
      <c r="N39" s="912"/>
      <c r="O39" s="920"/>
      <c r="P39" s="3670"/>
      <c r="Q39" s="1349">
        <f t="shared" si="11"/>
        <v>111</v>
      </c>
      <c r="R39" s="703" t="s">
        <v>14</v>
      </c>
      <c r="S39" s="704">
        <f t="shared" si="12"/>
        <v>100</v>
      </c>
      <c r="T39" s="703" t="s">
        <v>14</v>
      </c>
      <c r="U39" s="704">
        <f t="shared" si="13"/>
        <v>100</v>
      </c>
      <c r="V39" s="703" t="s">
        <v>14</v>
      </c>
      <c r="W39" s="704">
        <f t="shared" si="14"/>
        <v>100</v>
      </c>
      <c r="X39" s="1352"/>
      <c r="Y39" s="3670"/>
      <c r="Z39" s="1353">
        <f t="shared" si="15"/>
        <v>111</v>
      </c>
      <c r="AA39" s="1350">
        <f t="shared" si="3"/>
        <v>1</v>
      </c>
      <c r="AB39" s="1350">
        <f t="shared" si="4"/>
        <v>1</v>
      </c>
      <c r="AC39" s="1350">
        <f t="shared" si="5"/>
        <v>1</v>
      </c>
    </row>
    <row r="40" spans="1:29" ht="15.75" thickBot="1">
      <c r="A40" s="427"/>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0"/>
      <c r="L40" s="921"/>
      <c r="M40" s="912"/>
      <c r="N40" s="912"/>
      <c r="O40" s="920"/>
      <c r="P40" s="3732"/>
      <c r="Q40" s="1349">
        <f t="shared" si="11"/>
        <v>111</v>
      </c>
      <c r="R40" s="703" t="s">
        <v>14</v>
      </c>
      <c r="S40" s="704">
        <f t="shared" si="12"/>
        <v>100</v>
      </c>
      <c r="T40" s="703" t="s">
        <v>14</v>
      </c>
      <c r="U40" s="704">
        <f t="shared" si="13"/>
        <v>100</v>
      </c>
      <c r="V40" s="703" t="s">
        <v>14</v>
      </c>
      <c r="W40" s="704">
        <f t="shared" si="14"/>
        <v>100</v>
      </c>
      <c r="X40" s="1352"/>
      <c r="Y40" s="3732"/>
      <c r="Z40" s="1353">
        <f t="shared" si="15"/>
        <v>111</v>
      </c>
      <c r="AA40" s="1350">
        <f t="shared" si="3"/>
        <v>1</v>
      </c>
      <c r="AB40" s="1350">
        <f t="shared" si="4"/>
        <v>1</v>
      </c>
      <c r="AC40" s="1350">
        <f t="shared" si="5"/>
        <v>1</v>
      </c>
    </row>
    <row r="41" spans="1:29" ht="15">
      <c r="A41" s="428" t="s">
        <v>1706</v>
      </c>
      <c r="B41" s="429"/>
      <c r="C41" s="1152" t="s">
        <v>0</v>
      </c>
      <c r="D41" s="1153"/>
      <c r="E41" s="1154"/>
      <c r="F41" s="1155"/>
      <c r="G41" s="1156"/>
      <c r="H41" s="1157"/>
      <c r="I41" s="1154"/>
      <c r="J41" s="1157"/>
      <c r="K41" s="712"/>
      <c r="L41" s="924"/>
      <c r="M41" s="925"/>
      <c r="N41" s="912"/>
      <c r="O41" s="925"/>
      <c r="P41" s="3666" t="str">
        <f>A41</f>
        <v>成交单价（元/平方米）</v>
      </c>
      <c r="Q41" s="3666"/>
      <c r="R41" s="3728">
        <f>E41</f>
        <v>0</v>
      </c>
      <c r="S41" s="3728"/>
      <c r="T41" s="3728">
        <f>G41</f>
        <v>0</v>
      </c>
      <c r="U41" s="3728"/>
      <c r="V41" s="3728">
        <f>I41</f>
        <v>0</v>
      </c>
      <c r="W41" s="3728"/>
      <c r="X41" s="688"/>
      <c r="Y41" s="710"/>
      <c r="Z41" s="688"/>
      <c r="AA41" s="688"/>
      <c r="AB41" s="688"/>
      <c r="AC41" s="688"/>
    </row>
    <row r="42" spans="1:29" ht="15.75" thickBot="1">
      <c r="A42" s="435" t="s">
        <v>1791</v>
      </c>
      <c r="B42" s="436"/>
      <c r="C42" s="1158" t="e">
        <f>R43</f>
        <v>#DIV/0!</v>
      </c>
      <c r="D42" s="2311" t="s">
        <v>2136</v>
      </c>
      <c r="E42" s="1159" t="e">
        <f>R42</f>
        <v>#DIV/0!</v>
      </c>
      <c r="F42" s="2312"/>
      <c r="G42" s="1158" t="e">
        <f>T42</f>
        <v>#DIV/0!</v>
      </c>
      <c r="H42" s="2312"/>
      <c r="I42" s="1159" t="e">
        <f>V42</f>
        <v>#DIV/0!</v>
      </c>
      <c r="J42" s="2312"/>
      <c r="K42" s="2314">
        <f>F42+H42+J42</f>
        <v>0</v>
      </c>
      <c r="L42" s="924"/>
      <c r="M42" s="925"/>
      <c r="N42" s="912"/>
      <c r="O42" s="925"/>
      <c r="P42" s="3666" t="str">
        <f>A42</f>
        <v>比较价值（元/平方米）</v>
      </c>
      <c r="Q42" s="3666"/>
      <c r="R42" s="3728" t="e">
        <f>IF(F1="售价",ROUND(PRODUCT(R41,AA7:AA40),0),ROUND(PRODUCT(R41,AA7:AA40),1))</f>
        <v>#DIV/0!</v>
      </c>
      <c r="S42" s="3728"/>
      <c r="T42" s="3728" t="e">
        <f>IF(F1="售价",ROUND(PRODUCT(T41,AB7:AB40),0),ROUND(PRODUCT(T41,AB7:AB40),1))</f>
        <v>#DIV/0!</v>
      </c>
      <c r="U42" s="3728"/>
      <c r="V42" s="3728" t="e">
        <f>IF(F1="售价",ROUND(PRODUCT(V41,AC7:AC40),0),ROUND(PRODUCT(V41,AC7:AC40),1))</f>
        <v>#DIV/0!</v>
      </c>
      <c r="W42" s="3728"/>
      <c r="X42" s="688"/>
      <c r="Y42" s="688"/>
      <c r="Z42" s="688"/>
      <c r="AA42" s="688"/>
      <c r="AB42" s="688"/>
      <c r="AC42" s="688"/>
    </row>
    <row r="43" spans="1:29" ht="15.75" thickBot="1">
      <c r="A43" s="439" t="s">
        <v>1792</v>
      </c>
      <c r="B43" s="440"/>
      <c r="C43" s="1161" t="e">
        <f>R43</f>
        <v>#DIV/0!</v>
      </c>
      <c r="D43" s="1161"/>
      <c r="E43" s="1161"/>
      <c r="F43" s="1161"/>
      <c r="G43" s="1161"/>
      <c r="H43" s="1161"/>
      <c r="I43" s="1161"/>
      <c r="J43" s="1161"/>
      <c r="K43" s="713"/>
      <c r="L43" s="924"/>
      <c r="M43" s="925"/>
      <c r="N43" s="925"/>
      <c r="O43" s="925"/>
      <c r="P43" s="3660" t="str">
        <f>A43</f>
        <v>估价对象XX用房的比较价值（楼面单价，元/平方米）</v>
      </c>
      <c r="Q43" s="3661"/>
      <c r="R43" s="3727" t="e">
        <f>IF(F1="售价",ROUND(IF(D42="简单平均",AVERAGE(R42:V42),R42*F42+T42*H42+V42*J42),0),ROUND(IF(D42="简单平均",AVERAGE(R42:V42),R42*F42+T42*H42+V42*J42),1))</f>
        <v>#DIV/0!</v>
      </c>
      <c r="S43" s="3727"/>
      <c r="T43" s="3727"/>
      <c r="U43" s="3727"/>
      <c r="V43" s="3727"/>
      <c r="W43" s="3727"/>
      <c r="X43" s="688"/>
      <c r="Y43" s="688"/>
      <c r="Z43" s="688"/>
      <c r="AA43" s="688"/>
      <c r="AB43" s="688"/>
      <c r="AC43" s="688"/>
    </row>
    <row r="44" spans="1:29">
      <c r="A44" s="2716"/>
      <c r="B44" s="2716"/>
      <c r="C44" s="2716"/>
      <c r="D44" s="2716"/>
      <c r="E44" s="2716"/>
      <c r="F44" s="2716"/>
      <c r="G44" s="2720"/>
      <c r="H44" s="2716"/>
      <c r="I44" s="2716"/>
      <c r="J44" s="2716"/>
      <c r="K44" s="2721"/>
      <c r="L44" s="887"/>
      <c r="M44" s="925"/>
      <c r="N44" s="925"/>
      <c r="O44" s="925"/>
    </row>
    <row r="45" spans="1:29">
      <c r="A45" s="2716"/>
      <c r="B45" s="2716"/>
      <c r="C45" s="2716"/>
      <c r="D45" s="2716"/>
      <c r="E45" s="2716"/>
      <c r="F45" s="2716"/>
      <c r="G45" s="2716"/>
      <c r="H45" s="2716"/>
      <c r="I45" s="2716"/>
      <c r="J45" s="2716"/>
      <c r="K45" s="2721"/>
      <c r="L45" s="887"/>
      <c r="M45" s="925"/>
      <c r="N45" s="925"/>
      <c r="O45" s="925"/>
    </row>
    <row r="46" spans="1:29" ht="13.5" customHeight="1">
      <c r="A46" s="2716"/>
      <c r="B46" s="2716"/>
      <c r="C46" s="444" t="s">
        <v>1793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887"/>
      <c r="M46" s="925"/>
      <c r="N46" s="925"/>
      <c r="O46" s="925"/>
    </row>
    <row r="47" spans="1:29" ht="13.5" customHeight="1">
      <c r="A47" s="2716"/>
      <c r="B47" s="2716"/>
      <c r="C47" s="444" t="s">
        <v>1794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887"/>
      <c r="M47" s="925"/>
      <c r="N47" s="925"/>
      <c r="O47" s="925"/>
    </row>
    <row r="48" spans="1:29" s="449" customFormat="1" ht="13.5" customHeight="1">
      <c r="A48" s="2719"/>
      <c r="B48" s="2719"/>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928"/>
      <c r="M48" s="926"/>
      <c r="N48" s="926"/>
      <c r="O48" s="926"/>
    </row>
    <row r="49" spans="1:17" s="449" customFormat="1">
      <c r="A49" s="2719"/>
      <c r="B49" s="2722"/>
      <c r="C49" s="2723"/>
      <c r="D49" s="2719"/>
      <c r="E49" s="2719"/>
      <c r="F49" s="2719"/>
      <c r="G49" s="2719"/>
      <c r="H49" s="2719"/>
      <c r="I49" s="2719"/>
      <c r="J49" s="2719"/>
      <c r="K49" s="2724"/>
      <c r="L49" s="928"/>
      <c r="M49" s="926"/>
      <c r="N49" s="926"/>
      <c r="O49" s="926"/>
    </row>
    <row r="50" spans="1:17">
      <c r="A50" s="2716"/>
      <c r="B50" s="2722"/>
      <c r="C50" s="2723"/>
      <c r="D50" s="2716"/>
      <c r="E50" s="2716"/>
      <c r="F50" s="2716"/>
      <c r="G50" s="2716"/>
      <c r="H50" s="2716"/>
      <c r="I50" s="2716"/>
      <c r="J50" s="2716"/>
      <c r="K50" s="2721"/>
      <c r="L50" s="887"/>
      <c r="M50" s="925"/>
      <c r="N50" s="925"/>
      <c r="O50" s="925"/>
    </row>
    <row r="51" spans="1:17" ht="21.75" thickBot="1">
      <c r="A51" s="692" t="s">
        <v>1796</v>
      </c>
      <c r="B51" s="688"/>
      <c r="C51" s="693"/>
      <c r="D51" s="693"/>
      <c r="E51" s="693"/>
      <c r="F51" s="694"/>
      <c r="G51" s="694"/>
      <c r="H51" s="693"/>
      <c r="I51" s="693"/>
      <c r="J51" s="693"/>
      <c r="K51" s="939"/>
      <c r="L51" s="940"/>
      <c r="M51" s="938"/>
      <c r="N51" s="938"/>
      <c r="O51" s="938"/>
      <c r="P51" s="450"/>
      <c r="Q51" s="451"/>
    </row>
    <row r="52" spans="1:17" s="455" customFormat="1" ht="15">
      <c r="A52" s="452" t="s">
        <v>1677</v>
      </c>
      <c r="B52" s="453"/>
      <c r="C52" s="1181" t="str">
        <f>YEAR(C7)&amp;"-"&amp;MONTH(C7)</f>
        <v>2024-10</v>
      </c>
      <c r="D52" s="1182">
        <f>EDATE(C52,-1)</f>
        <v>45536</v>
      </c>
      <c r="E52" s="1182">
        <f t="shared" ref="E52:O52" si="16">EDATE(D52,-1)</f>
        <v>45505</v>
      </c>
      <c r="F52" s="1182">
        <f t="shared" si="16"/>
        <v>45474</v>
      </c>
      <c r="G52" s="1182">
        <f t="shared" si="16"/>
        <v>45444</v>
      </c>
      <c r="H52" s="1182">
        <f t="shared" si="16"/>
        <v>45413</v>
      </c>
      <c r="I52" s="1182">
        <f t="shared" si="16"/>
        <v>45383</v>
      </c>
      <c r="J52" s="1182">
        <f t="shared" si="16"/>
        <v>45352</v>
      </c>
      <c r="K52" s="1182">
        <f t="shared" si="16"/>
        <v>45323</v>
      </c>
      <c r="L52" s="1182">
        <f t="shared" si="16"/>
        <v>45292</v>
      </c>
      <c r="M52" s="1182">
        <f t="shared" si="16"/>
        <v>45261</v>
      </c>
      <c r="N52" s="1182">
        <f t="shared" si="16"/>
        <v>45231</v>
      </c>
      <c r="O52" s="1182">
        <f t="shared" si="16"/>
        <v>45200</v>
      </c>
      <c r="P52" s="454"/>
    </row>
    <row r="53" spans="1:17" s="108" customFormat="1" ht="15">
      <c r="A53" s="456"/>
      <c r="B53" s="457"/>
      <c r="C53" s="1180">
        <v>100</v>
      </c>
      <c r="D53" s="459"/>
      <c r="E53" s="459"/>
      <c r="F53" s="459"/>
      <c r="G53" s="459"/>
      <c r="H53" s="459"/>
      <c r="I53" s="459"/>
      <c r="J53" s="459"/>
      <c r="K53" s="459"/>
      <c r="L53" s="459"/>
      <c r="M53" s="460"/>
      <c r="N53" s="459"/>
      <c r="O53" s="461"/>
      <c r="P53" s="451"/>
    </row>
    <row r="54" spans="1:17" s="108" customFormat="1" ht="15.75" thickBot="1">
      <c r="A54" s="462" t="s">
        <v>1714</v>
      </c>
      <c r="B54" s="463"/>
      <c r="C54" s="464"/>
      <c r="D54" s="465"/>
      <c r="E54" s="465"/>
      <c r="F54" s="465"/>
      <c r="G54" s="465"/>
      <c r="H54" s="465"/>
      <c r="I54" s="465"/>
      <c r="J54" s="465"/>
      <c r="K54" s="465"/>
      <c r="L54" s="465"/>
      <c r="M54" s="466"/>
      <c r="N54" s="2761"/>
      <c r="O54" s="2762"/>
      <c r="P54" s="451"/>
      <c r="Q54" s="451"/>
    </row>
    <row r="55" spans="1:17" s="108" customFormat="1" ht="15">
      <c r="A55" s="468" t="s">
        <v>1679</v>
      </c>
      <c r="B55" s="457"/>
      <c r="C55" s="469" t="s">
        <v>1774</v>
      </c>
      <c r="D55" s="470"/>
      <c r="E55" s="470"/>
      <c r="F55" s="470"/>
      <c r="G55" s="470"/>
      <c r="H55" s="470"/>
      <c r="I55" s="470"/>
      <c r="J55" s="470"/>
      <c r="K55" s="470"/>
      <c r="L55" s="471"/>
      <c r="M55" s="472"/>
      <c r="N55" s="930"/>
      <c r="O55" s="930"/>
      <c r="P55" s="473"/>
      <c r="Q55" s="451"/>
    </row>
    <row r="56" spans="1:17" s="108" customFormat="1" ht="15.75" thickBot="1">
      <c r="A56" s="468"/>
      <c r="B56" s="457"/>
      <c r="C56" s="585">
        <v>100</v>
      </c>
      <c r="D56" s="459"/>
      <c r="E56" s="459"/>
      <c r="F56" s="459"/>
      <c r="G56" s="459"/>
      <c r="H56" s="459"/>
      <c r="I56" s="459"/>
      <c r="J56" s="459"/>
      <c r="K56" s="459"/>
      <c r="L56" s="459"/>
      <c r="M56" s="461"/>
      <c r="N56" s="930"/>
      <c r="O56" s="930"/>
      <c r="P56" s="451"/>
      <c r="Q56" s="451"/>
    </row>
    <row r="57" spans="1:17">
      <c r="A57" s="474" t="s">
        <v>1717</v>
      </c>
      <c r="B57" s="475" t="s">
        <v>1683</v>
      </c>
      <c r="C57" s="476">
        <f>C9</f>
        <v>0</v>
      </c>
      <c r="D57" s="477"/>
      <c r="E57" s="477"/>
      <c r="F57" s="477"/>
      <c r="G57" s="477"/>
      <c r="H57" s="477"/>
      <c r="I57" s="477"/>
      <c r="J57" s="477"/>
      <c r="K57" s="478"/>
      <c r="L57" s="479"/>
      <c r="M57" s="480"/>
      <c r="N57" s="931"/>
      <c r="O57" s="931"/>
      <c r="P57" s="42"/>
      <c r="Q57" s="451"/>
    </row>
    <row r="58" spans="1:17" ht="15.75" thickBot="1">
      <c r="A58" s="481"/>
      <c r="B58" s="482"/>
      <c r="C58" s="483">
        <v>100</v>
      </c>
      <c r="D58" s="483"/>
      <c r="E58" s="483"/>
      <c r="F58" s="483"/>
      <c r="G58" s="483"/>
      <c r="H58" s="483"/>
      <c r="I58" s="483"/>
      <c r="J58" s="483"/>
      <c r="K58" s="483"/>
      <c r="L58" s="483"/>
      <c r="M58" s="484"/>
      <c r="N58" s="932"/>
      <c r="O58" s="932"/>
      <c r="P58" s="42"/>
      <c r="Q58" s="451"/>
    </row>
    <row r="59" spans="1:17" ht="27.75" thickTop="1">
      <c r="A59" s="481"/>
      <c r="B59" s="485" t="s">
        <v>1686</v>
      </c>
      <c r="C59" s="530"/>
      <c r="D59" s="530"/>
      <c r="E59" s="530"/>
      <c r="F59" s="530"/>
      <c r="G59" s="530"/>
      <c r="H59" s="530"/>
      <c r="I59" s="530"/>
      <c r="J59" s="530"/>
      <c r="K59" s="531"/>
      <c r="L59" s="532"/>
      <c r="M59" s="533"/>
      <c r="N59" s="931"/>
      <c r="O59" s="931"/>
      <c r="P59" s="42"/>
      <c r="Q59" s="451"/>
    </row>
    <row r="60" spans="1:17" ht="15.75" thickBot="1">
      <c r="A60" s="481"/>
      <c r="B60" s="490"/>
      <c r="C60" s="483"/>
      <c r="D60" s="483"/>
      <c r="E60" s="483"/>
      <c r="F60" s="483"/>
      <c r="G60" s="483"/>
      <c r="H60" s="483"/>
      <c r="I60" s="483"/>
      <c r="J60" s="483"/>
      <c r="K60" s="483"/>
      <c r="L60" s="483"/>
      <c r="M60" s="484"/>
      <c r="N60" s="932"/>
      <c r="O60" s="932"/>
      <c r="P60" s="42"/>
      <c r="Q60" s="451"/>
    </row>
    <row r="61" spans="1:17" ht="15.75" thickTop="1">
      <c r="A61" s="481"/>
      <c r="B61" s="493" t="s">
        <v>1687</v>
      </c>
      <c r="C61" s="494" t="str">
        <f>C62&amp;"（含）"&amp;"-"&amp;D62</f>
        <v>0（含）-2</v>
      </c>
      <c r="D61" s="494" t="str">
        <f t="shared" ref="D61:L61" si="17">D62&amp;"（含）"&amp;"-"&amp;E62</f>
        <v>2（含）-</v>
      </c>
      <c r="E61" s="494" t="str">
        <f t="shared" si="17"/>
        <v>（含）-</v>
      </c>
      <c r="F61" s="494" t="str">
        <f t="shared" si="17"/>
        <v>（含）-</v>
      </c>
      <c r="G61" s="494" t="str">
        <f t="shared" si="17"/>
        <v>（含）-</v>
      </c>
      <c r="H61" s="494" t="str">
        <f t="shared" si="17"/>
        <v>（含）-</v>
      </c>
      <c r="I61" s="494" t="str">
        <f t="shared" si="17"/>
        <v>（含）-</v>
      </c>
      <c r="J61" s="494" t="str">
        <f t="shared" si="17"/>
        <v>（含）-</v>
      </c>
      <c r="K61" s="494" t="str">
        <f t="shared" si="17"/>
        <v>（含）-</v>
      </c>
      <c r="L61" s="494" t="str">
        <f t="shared" si="17"/>
        <v>（含）-</v>
      </c>
      <c r="M61" s="399" t="str">
        <f>M62&amp;"（含）"&amp;"-"&amp;P62</f>
        <v>（含）-</v>
      </c>
      <c r="N61" s="932"/>
      <c r="O61" s="932"/>
      <c r="P61" s="42"/>
      <c r="Q61" s="451"/>
    </row>
    <row r="62" spans="1:17" ht="15">
      <c r="A62" s="481"/>
      <c r="B62" s="495"/>
      <c r="C62" s="496">
        <v>0</v>
      </c>
      <c r="D62" s="496">
        <v>2</v>
      </c>
      <c r="E62" s="496"/>
      <c r="F62" s="496"/>
      <c r="G62" s="496"/>
      <c r="H62" s="496"/>
      <c r="I62" s="496"/>
      <c r="J62" s="496"/>
      <c r="K62" s="497"/>
      <c r="L62" s="498"/>
      <c r="M62" s="499"/>
      <c r="N62" s="931"/>
      <c r="O62" s="931"/>
      <c r="P62" s="42"/>
      <c r="Q62" s="451"/>
    </row>
    <row r="63" spans="1:17" ht="15.75" thickBot="1">
      <c r="A63" s="481"/>
      <c r="B63" s="482"/>
      <c r="C63" s="491">
        <v>100</v>
      </c>
      <c r="D63" s="491">
        <f t="shared" ref="D63:M63" si="18">C63-$K11</f>
        <v>100</v>
      </c>
      <c r="E63" s="491">
        <f t="shared" si="18"/>
        <v>100</v>
      </c>
      <c r="F63" s="491">
        <f t="shared" si="18"/>
        <v>100</v>
      </c>
      <c r="G63" s="491">
        <f t="shared" si="18"/>
        <v>100</v>
      </c>
      <c r="H63" s="491">
        <f t="shared" si="18"/>
        <v>100</v>
      </c>
      <c r="I63" s="491">
        <f t="shared" si="18"/>
        <v>100</v>
      </c>
      <c r="J63" s="491">
        <f t="shared" si="18"/>
        <v>100</v>
      </c>
      <c r="K63" s="491">
        <f t="shared" si="18"/>
        <v>100</v>
      </c>
      <c r="L63" s="491">
        <f t="shared" si="18"/>
        <v>100</v>
      </c>
      <c r="M63" s="492">
        <f t="shared" si="18"/>
        <v>100</v>
      </c>
      <c r="N63" s="932"/>
      <c r="O63" s="932"/>
      <c r="P63" s="42"/>
      <c r="Q63" s="451"/>
    </row>
    <row r="64" spans="1:17" s="422" customFormat="1" ht="15.75" thickTop="1">
      <c r="A64" s="500"/>
      <c r="B64" s="485">
        <f>B12</f>
        <v>111</v>
      </c>
      <c r="C64" s="501"/>
      <c r="D64" s="501"/>
      <c r="E64" s="501"/>
      <c r="F64" s="501"/>
      <c r="G64" s="501"/>
      <c r="H64" s="502"/>
      <c r="I64" s="502"/>
      <c r="J64" s="502"/>
      <c r="K64" s="502"/>
      <c r="L64" s="503"/>
      <c r="M64" s="504"/>
      <c r="N64" s="933"/>
      <c r="O64" s="933"/>
      <c r="P64" s="505"/>
      <c r="Q64" s="506"/>
    </row>
    <row r="65" spans="1:17" s="422" customFormat="1" ht="15.75" thickBot="1">
      <c r="A65" s="500"/>
      <c r="B65" s="490"/>
      <c r="C65" s="507"/>
      <c r="D65" s="483"/>
      <c r="E65" s="483"/>
      <c r="F65" s="483"/>
      <c r="G65" s="483"/>
      <c r="H65" s="483"/>
      <c r="I65" s="483"/>
      <c r="J65" s="483"/>
      <c r="K65" s="483"/>
      <c r="L65" s="483"/>
      <c r="M65" s="484"/>
      <c r="N65" s="932"/>
      <c r="O65" s="932"/>
      <c r="P65" s="505"/>
      <c r="Q65" s="506"/>
    </row>
    <row r="66" spans="1:17" s="422" customFormat="1" ht="15.75" thickTop="1">
      <c r="A66" s="500"/>
      <c r="B66" s="485">
        <f>B13</f>
        <v>111</v>
      </c>
      <c r="C66" s="501"/>
      <c r="D66" s="501"/>
      <c r="E66" s="501"/>
      <c r="F66" s="501"/>
      <c r="G66" s="501"/>
      <c r="H66" s="502"/>
      <c r="I66" s="502"/>
      <c r="J66" s="502"/>
      <c r="K66" s="502"/>
      <c r="L66" s="503"/>
      <c r="M66" s="504"/>
      <c r="N66" s="933"/>
      <c r="O66" s="933"/>
      <c r="P66" s="421"/>
      <c r="Q66" s="508"/>
    </row>
    <row r="67" spans="1:17" s="422" customFormat="1" ht="15.75" thickBot="1">
      <c r="A67" s="500"/>
      <c r="B67" s="490"/>
      <c r="C67" s="507"/>
      <c r="D67" s="483"/>
      <c r="E67" s="483"/>
      <c r="F67" s="483"/>
      <c r="G67" s="507"/>
      <c r="H67" s="509"/>
      <c r="I67" s="509"/>
      <c r="J67" s="509"/>
      <c r="K67" s="509"/>
      <c r="L67" s="509"/>
      <c r="M67" s="510"/>
      <c r="N67" s="933"/>
      <c r="O67" s="933"/>
      <c r="P67" s="505"/>
      <c r="Q67" s="506"/>
    </row>
    <row r="68" spans="1:17" s="422" customFormat="1" ht="15.75" thickTop="1">
      <c r="A68" s="500"/>
      <c r="B68" s="493">
        <f>B14</f>
        <v>111</v>
      </c>
      <c r="C68" s="470"/>
      <c r="D68" s="470"/>
      <c r="E68" s="470"/>
      <c r="F68" s="470"/>
      <c r="G68" s="470"/>
      <c r="H68" s="511"/>
      <c r="I68" s="511"/>
      <c r="J68" s="511"/>
      <c r="K68" s="511"/>
      <c r="L68" s="512"/>
      <c r="M68" s="513"/>
      <c r="N68" s="933"/>
      <c r="O68" s="933"/>
      <c r="P68" s="514"/>
      <c r="Q68" s="506"/>
    </row>
    <row r="69" spans="1:17" s="422" customFormat="1" ht="15.75" thickBot="1">
      <c r="A69" s="515"/>
      <c r="B69" s="516"/>
      <c r="C69" s="517"/>
      <c r="D69" s="517"/>
      <c r="E69" s="517"/>
      <c r="F69" s="517"/>
      <c r="G69" s="517"/>
      <c r="H69" s="518"/>
      <c r="I69" s="518"/>
      <c r="J69" s="518"/>
      <c r="K69" s="518"/>
      <c r="L69" s="518"/>
      <c r="M69" s="519"/>
      <c r="N69" s="933"/>
      <c r="O69" s="933"/>
      <c r="P69" s="505"/>
      <c r="Q69" s="506"/>
    </row>
    <row r="70" spans="1:17">
      <c r="A70" s="474" t="s">
        <v>1688</v>
      </c>
      <c r="B70" s="475" t="s">
        <v>1827</v>
      </c>
      <c r="C70" s="520" t="s">
        <v>1719</v>
      </c>
      <c r="D70" s="520" t="s">
        <v>1720</v>
      </c>
      <c r="E70" s="520" t="s">
        <v>1721</v>
      </c>
      <c r="F70" s="520" t="s">
        <v>1722</v>
      </c>
      <c r="G70" s="520" t="s">
        <v>1723</v>
      </c>
      <c r="H70" s="476"/>
      <c r="I70" s="476"/>
      <c r="J70" s="476"/>
      <c r="K70" s="521"/>
      <c r="L70" s="522"/>
      <c r="M70" s="523"/>
      <c r="N70" s="931"/>
      <c r="O70" s="931"/>
      <c r="P70" s="524"/>
      <c r="Q70" s="451"/>
    </row>
    <row r="71" spans="1:17" ht="15.75" thickBot="1">
      <c r="A71" s="481"/>
      <c r="B71" s="490"/>
      <c r="C71" s="491">
        <v>100</v>
      </c>
      <c r="D71" s="491">
        <f>C71-$K15</f>
        <v>100</v>
      </c>
      <c r="E71" s="491">
        <f>D71-$K15</f>
        <v>100</v>
      </c>
      <c r="F71" s="491">
        <f>E71-$K15</f>
        <v>100</v>
      </c>
      <c r="G71" s="491">
        <f>F71-$K15</f>
        <v>100</v>
      </c>
      <c r="H71" s="491"/>
      <c r="I71" s="491"/>
      <c r="J71" s="491"/>
      <c r="K71" s="491"/>
      <c r="L71" s="491"/>
      <c r="M71" s="492"/>
      <c r="N71" s="932"/>
      <c r="O71" s="932"/>
      <c r="P71" s="42"/>
      <c r="Q71" s="451"/>
    </row>
    <row r="72" spans="1:17" ht="15.75" thickTop="1">
      <c r="A72" s="481"/>
      <c r="B72" s="485" t="s">
        <v>1724</v>
      </c>
      <c r="C72" s="525" t="s">
        <v>1719</v>
      </c>
      <c r="D72" s="525" t="s">
        <v>1720</v>
      </c>
      <c r="E72" s="525" t="s">
        <v>1721</v>
      </c>
      <c r="F72" s="525" t="s">
        <v>1722</v>
      </c>
      <c r="G72" s="525" t="s">
        <v>1723</v>
      </c>
      <c r="H72" s="486"/>
      <c r="I72" s="486"/>
      <c r="J72" s="486"/>
      <c r="K72" s="487"/>
      <c r="L72" s="488"/>
      <c r="M72" s="489"/>
      <c r="N72" s="931"/>
      <c r="O72" s="931"/>
      <c r="P72" s="42"/>
      <c r="Q72" s="451"/>
    </row>
    <row r="73" spans="1:17" ht="15.75" thickBot="1">
      <c r="A73" s="481"/>
      <c r="B73" s="490"/>
      <c r="C73" s="491">
        <v>100</v>
      </c>
      <c r="D73" s="491">
        <f>C73-$K17</f>
        <v>100</v>
      </c>
      <c r="E73" s="491">
        <f>D73-$K17</f>
        <v>100</v>
      </c>
      <c r="F73" s="491">
        <f>E73-$K17</f>
        <v>100</v>
      </c>
      <c r="G73" s="491">
        <f>F73-$K17</f>
        <v>100</v>
      </c>
      <c r="H73" s="491"/>
      <c r="I73" s="491"/>
      <c r="J73" s="491"/>
      <c r="K73" s="491"/>
      <c r="L73" s="491"/>
      <c r="M73" s="492"/>
      <c r="N73" s="932"/>
      <c r="O73" s="932"/>
      <c r="P73" s="42"/>
      <c r="Q73" s="451"/>
    </row>
    <row r="74" spans="1:17" ht="15.75" thickTop="1">
      <c r="A74" s="481"/>
      <c r="B74" s="485" t="s">
        <v>1725</v>
      </c>
      <c r="C74" s="525" t="s">
        <v>1719</v>
      </c>
      <c r="D74" s="525" t="s">
        <v>1720</v>
      </c>
      <c r="E74" s="525" t="s">
        <v>1721</v>
      </c>
      <c r="F74" s="525" t="s">
        <v>1722</v>
      </c>
      <c r="G74" s="525" t="s">
        <v>1723</v>
      </c>
      <c r="H74" s="486"/>
      <c r="I74" s="486"/>
      <c r="J74" s="486"/>
      <c r="K74" s="487"/>
      <c r="L74" s="488"/>
      <c r="M74" s="489"/>
      <c r="N74" s="931"/>
      <c r="O74" s="931"/>
      <c r="P74" s="42"/>
      <c r="Q74" s="451"/>
    </row>
    <row r="75" spans="1:17" ht="15.75" thickBot="1">
      <c r="A75" s="481"/>
      <c r="B75" s="490"/>
      <c r="C75" s="491">
        <v>100</v>
      </c>
      <c r="D75" s="491">
        <f>C75-$K19</f>
        <v>100</v>
      </c>
      <c r="E75" s="491">
        <f>D75-$K19</f>
        <v>100</v>
      </c>
      <c r="F75" s="491">
        <f>E75-$K19</f>
        <v>100</v>
      </c>
      <c r="G75" s="491">
        <f>F75-$K19</f>
        <v>100</v>
      </c>
      <c r="H75" s="491"/>
      <c r="I75" s="491"/>
      <c r="J75" s="491"/>
      <c r="K75" s="491"/>
      <c r="L75" s="491"/>
      <c r="M75" s="492"/>
      <c r="N75" s="932"/>
      <c r="O75" s="932"/>
      <c r="P75" s="42"/>
      <c r="Q75" s="451"/>
    </row>
    <row r="76" spans="1:17" ht="15.75" thickTop="1">
      <c r="A76" s="481"/>
      <c r="B76" s="493" t="s">
        <v>1811</v>
      </c>
      <c r="C76" s="606" t="s">
        <v>1797</v>
      </c>
      <c r="D76" s="606" t="s">
        <v>1798</v>
      </c>
      <c r="E76" s="606" t="s">
        <v>1799</v>
      </c>
      <c r="F76" s="606" t="s">
        <v>1800</v>
      </c>
      <c r="G76" s="606" t="s">
        <v>1801</v>
      </c>
      <c r="H76" s="486"/>
      <c r="I76" s="486"/>
      <c r="J76" s="486"/>
      <c r="K76" s="486"/>
      <c r="L76" s="486"/>
      <c r="M76" s="1127"/>
      <c r="N76" s="932"/>
      <c r="O76" s="932"/>
      <c r="P76" s="42"/>
      <c r="Q76" s="451"/>
    </row>
    <row r="77" spans="1:17" ht="15.75" thickBot="1">
      <c r="A77" s="481"/>
      <c r="B77" s="493"/>
      <c r="C77" s="491">
        <v>100</v>
      </c>
      <c r="D77" s="491">
        <f>C77-$K21</f>
        <v>100</v>
      </c>
      <c r="E77" s="491">
        <f>D77-$K21</f>
        <v>100</v>
      </c>
      <c r="F77" s="491">
        <f>E77-$K21</f>
        <v>100</v>
      </c>
      <c r="G77" s="491">
        <f>F77-$K21</f>
        <v>100</v>
      </c>
      <c r="H77" s="606"/>
      <c r="I77" s="606"/>
      <c r="J77" s="606"/>
      <c r="K77" s="606"/>
      <c r="L77" s="606"/>
      <c r="M77" s="401"/>
      <c r="N77" s="932"/>
      <c r="O77" s="932"/>
      <c r="P77" s="42"/>
      <c r="Q77" s="451"/>
    </row>
    <row r="78" spans="1:17" ht="15.75" thickTop="1">
      <c r="A78" s="481"/>
      <c r="B78" s="485" t="s">
        <v>1820</v>
      </c>
      <c r="C78" s="525" t="s">
        <v>1719</v>
      </c>
      <c r="D78" s="525" t="s">
        <v>1720</v>
      </c>
      <c r="E78" s="525" t="s">
        <v>1721</v>
      </c>
      <c r="F78" s="525" t="s">
        <v>1722</v>
      </c>
      <c r="G78" s="525" t="s">
        <v>1723</v>
      </c>
      <c r="H78" s="486"/>
      <c r="I78" s="486"/>
      <c r="J78" s="486"/>
      <c r="K78" s="487"/>
      <c r="L78" s="488"/>
      <c r="M78" s="489"/>
      <c r="N78" s="931"/>
      <c r="O78" s="931"/>
      <c r="P78" s="42"/>
      <c r="Q78" s="451"/>
    </row>
    <row r="79" spans="1:17" ht="15.75" thickBot="1">
      <c r="A79" s="481"/>
      <c r="B79" s="490"/>
      <c r="C79" s="491">
        <v>100</v>
      </c>
      <c r="D79" s="491">
        <f>C79-$K23</f>
        <v>100</v>
      </c>
      <c r="E79" s="491">
        <f>D79-$K23</f>
        <v>100</v>
      </c>
      <c r="F79" s="491">
        <f>E79-$K23</f>
        <v>100</v>
      </c>
      <c r="G79" s="491">
        <f>F79-$K23</f>
        <v>100</v>
      </c>
      <c r="H79" s="491"/>
      <c r="I79" s="491"/>
      <c r="J79" s="491"/>
      <c r="K79" s="491"/>
      <c r="L79" s="491"/>
      <c r="M79" s="492"/>
      <c r="N79" s="932"/>
      <c r="O79" s="932"/>
      <c r="P79" s="42"/>
      <c r="Q79" s="451"/>
    </row>
    <row r="80" spans="1:17" s="108" customFormat="1" ht="15.75" thickTop="1">
      <c r="A80" s="526"/>
      <c r="B80" s="485">
        <f>B25</f>
        <v>111</v>
      </c>
      <c r="C80" s="501"/>
      <c r="D80" s="501"/>
      <c r="E80" s="501"/>
      <c r="F80" s="501"/>
      <c r="G80" s="501"/>
      <c r="H80" s="501"/>
      <c r="I80" s="501"/>
      <c r="J80" s="501"/>
      <c r="K80" s="501"/>
      <c r="L80" s="527"/>
      <c r="M80" s="528"/>
      <c r="N80" s="930"/>
      <c r="O80" s="930"/>
      <c r="P80" s="42"/>
      <c r="Q80" s="451"/>
    </row>
    <row r="81" spans="1:17" s="108" customFormat="1" ht="15.75" thickBot="1">
      <c r="A81" s="526"/>
      <c r="B81" s="490"/>
      <c r="C81" s="507"/>
      <c r="D81" s="483"/>
      <c r="E81" s="483"/>
      <c r="F81" s="483"/>
      <c r="G81" s="483"/>
      <c r="H81" s="483"/>
      <c r="I81" s="483"/>
      <c r="J81" s="483"/>
      <c r="K81" s="483"/>
      <c r="L81" s="483"/>
      <c r="M81" s="484"/>
      <c r="N81" s="932"/>
      <c r="O81" s="932"/>
      <c r="P81" s="42"/>
      <c r="Q81" s="451"/>
    </row>
    <row r="82" spans="1:17" s="108" customFormat="1" ht="15.75" thickTop="1">
      <c r="A82" s="526"/>
      <c r="B82" s="485">
        <f>B26</f>
        <v>111</v>
      </c>
      <c r="C82" s="501"/>
      <c r="D82" s="501"/>
      <c r="E82" s="501"/>
      <c r="F82" s="501"/>
      <c r="G82" s="501"/>
      <c r="H82" s="501"/>
      <c r="I82" s="501"/>
      <c r="J82" s="501"/>
      <c r="K82" s="501"/>
      <c r="L82" s="527"/>
      <c r="M82" s="528"/>
      <c r="N82" s="930"/>
      <c r="O82" s="930"/>
      <c r="P82" s="42"/>
      <c r="Q82" s="451"/>
    </row>
    <row r="83" spans="1:17" s="108" customFormat="1" ht="15.75" thickBot="1">
      <c r="A83" s="526"/>
      <c r="B83" s="490"/>
      <c r="C83" s="507"/>
      <c r="D83" s="483"/>
      <c r="E83" s="483"/>
      <c r="F83" s="483"/>
      <c r="G83" s="483"/>
      <c r="H83" s="483"/>
      <c r="I83" s="483"/>
      <c r="J83" s="483"/>
      <c r="K83" s="483"/>
      <c r="L83" s="483"/>
      <c r="M83" s="484"/>
      <c r="N83" s="932"/>
      <c r="O83" s="932"/>
      <c r="P83" s="42"/>
      <c r="Q83" s="451"/>
    </row>
    <row r="84" spans="1:17" s="422" customFormat="1" ht="15.75" thickTop="1">
      <c r="A84" s="500"/>
      <c r="B84" s="485">
        <f>B27</f>
        <v>111</v>
      </c>
      <c r="C84" s="501"/>
      <c r="D84" s="501"/>
      <c r="E84" s="501"/>
      <c r="F84" s="501"/>
      <c r="G84" s="501"/>
      <c r="H84" s="501"/>
      <c r="I84" s="501"/>
      <c r="J84" s="501"/>
      <c r="K84" s="501"/>
      <c r="L84" s="527"/>
      <c r="M84" s="528"/>
      <c r="N84" s="933"/>
      <c r="O84" s="933"/>
      <c r="P84" s="505"/>
      <c r="Q84" s="506"/>
    </row>
    <row r="85" spans="1:17" s="422" customFormat="1" ht="15.75" thickBot="1">
      <c r="A85" s="500"/>
      <c r="B85" s="490"/>
      <c r="C85" s="507"/>
      <c r="D85" s="483"/>
      <c r="E85" s="483"/>
      <c r="F85" s="483"/>
      <c r="G85" s="483"/>
      <c r="H85" s="483"/>
      <c r="I85" s="483"/>
      <c r="J85" s="483"/>
      <c r="K85" s="483"/>
      <c r="L85" s="483"/>
      <c r="M85" s="484"/>
      <c r="N85" s="933"/>
      <c r="O85" s="933"/>
      <c r="P85" s="505"/>
      <c r="Q85" s="506"/>
    </row>
    <row r="86" spans="1:17" ht="15.75" thickTop="1">
      <c r="A86" s="481"/>
      <c r="B86" s="493">
        <f>B28</f>
        <v>111</v>
      </c>
      <c r="C86" s="470"/>
      <c r="D86" s="470"/>
      <c r="E86" s="470"/>
      <c r="F86" s="470"/>
      <c r="G86" s="534"/>
      <c r="H86" s="534"/>
      <c r="I86" s="534"/>
      <c r="J86" s="534"/>
      <c r="K86" s="535"/>
      <c r="L86" s="536"/>
      <c r="M86" s="537"/>
      <c r="N86" s="931"/>
      <c r="O86" s="931"/>
      <c r="P86" s="42"/>
      <c r="Q86" s="451"/>
    </row>
    <row r="87" spans="1:17" ht="15.75" thickBot="1">
      <c r="A87" s="1922"/>
      <c r="B87" s="516"/>
      <c r="C87" s="517"/>
      <c r="D87" s="517"/>
      <c r="E87" s="517"/>
      <c r="F87" s="517"/>
      <c r="G87" s="538"/>
      <c r="H87" s="538"/>
      <c r="I87" s="538"/>
      <c r="J87" s="538"/>
      <c r="K87" s="538"/>
      <c r="L87" s="538"/>
      <c r="M87" s="539"/>
      <c r="N87" s="932"/>
      <c r="O87" s="932"/>
      <c r="P87" s="42"/>
      <c r="Q87" s="451"/>
    </row>
    <row r="88" spans="1:17">
      <c r="A88" s="474" t="s">
        <v>1692</v>
      </c>
      <c r="B88" s="475" t="s">
        <v>1734</v>
      </c>
      <c r="C88" s="477"/>
      <c r="D88" s="477"/>
      <c r="E88" s="477"/>
      <c r="F88" s="477"/>
      <c r="G88" s="477"/>
      <c r="H88" s="477"/>
      <c r="I88" s="477"/>
      <c r="J88" s="477"/>
      <c r="K88" s="478"/>
      <c r="L88" s="479"/>
      <c r="M88" s="480"/>
      <c r="N88" s="931"/>
      <c r="O88" s="931"/>
      <c r="P88" s="42"/>
      <c r="Q88" s="451"/>
    </row>
    <row r="89" spans="1:17" ht="15.75" thickBot="1">
      <c r="A89" s="481"/>
      <c r="B89" s="490"/>
      <c r="C89" s="491">
        <v>100</v>
      </c>
      <c r="D89" s="491">
        <f t="shared" ref="D89:M89" si="19">C89-$K29</f>
        <v>100</v>
      </c>
      <c r="E89" s="491">
        <f t="shared" si="19"/>
        <v>100</v>
      </c>
      <c r="F89" s="491">
        <f t="shared" si="19"/>
        <v>100</v>
      </c>
      <c r="G89" s="491">
        <f t="shared" si="19"/>
        <v>100</v>
      </c>
      <c r="H89" s="491">
        <f t="shared" si="19"/>
        <v>100</v>
      </c>
      <c r="I89" s="491">
        <f t="shared" si="19"/>
        <v>100</v>
      </c>
      <c r="J89" s="491">
        <f t="shared" si="19"/>
        <v>100</v>
      </c>
      <c r="K89" s="491">
        <f t="shared" si="19"/>
        <v>100</v>
      </c>
      <c r="L89" s="491">
        <f t="shared" si="19"/>
        <v>100</v>
      </c>
      <c r="M89" s="492">
        <f t="shared" si="19"/>
        <v>100</v>
      </c>
      <c r="N89" s="932"/>
      <c r="O89" s="932"/>
      <c r="P89" s="42"/>
      <c r="Q89" s="451"/>
    </row>
    <row r="90" spans="1:17" ht="15.75" thickTop="1">
      <c r="A90" s="481"/>
      <c r="B90" s="485" t="s">
        <v>1735</v>
      </c>
      <c r="C90" s="525" t="str">
        <f>C91&amp;"(含)"&amp;"-"&amp;D91</f>
        <v>(含)-</v>
      </c>
      <c r="D90" s="525" t="str">
        <f t="shared" ref="D90:L90" si="20">D91&amp;"(含)"&amp;"-"&amp;E91</f>
        <v>(含)-</v>
      </c>
      <c r="E90" s="525" t="str">
        <f t="shared" si="20"/>
        <v>(含)-</v>
      </c>
      <c r="F90" s="525" t="str">
        <f t="shared" si="20"/>
        <v>(含)-</v>
      </c>
      <c r="G90" s="525" t="str">
        <f t="shared" si="20"/>
        <v>(含)-</v>
      </c>
      <c r="H90" s="525" t="str">
        <f t="shared" si="20"/>
        <v>(含)-</v>
      </c>
      <c r="I90" s="525" t="str">
        <f t="shared" si="20"/>
        <v>(含)-</v>
      </c>
      <c r="J90" s="525" t="str">
        <f t="shared" si="20"/>
        <v>(含)-</v>
      </c>
      <c r="K90" s="525" t="str">
        <f t="shared" si="20"/>
        <v>(含)-</v>
      </c>
      <c r="L90" s="525" t="str">
        <f t="shared" si="20"/>
        <v>(含)-</v>
      </c>
      <c r="M90" s="568" t="str">
        <f>M91&amp;"(含)"&amp;"-"&amp;P91</f>
        <v>(含)-</v>
      </c>
      <c r="N90" s="930"/>
      <c r="O90" s="930"/>
      <c r="P90" s="42"/>
      <c r="Q90" s="451"/>
    </row>
    <row r="91" spans="1:17" s="422" customFormat="1">
      <c r="A91" s="540"/>
      <c r="B91" s="541"/>
      <c r="C91" s="542"/>
      <c r="D91" s="542"/>
      <c r="E91" s="542"/>
      <c r="F91" s="542"/>
      <c r="G91" s="542"/>
      <c r="H91" s="542"/>
      <c r="I91" s="542"/>
      <c r="J91" s="543"/>
      <c r="K91" s="543"/>
      <c r="L91" s="544"/>
      <c r="M91" s="545"/>
      <c r="N91" s="933"/>
      <c r="O91" s="933"/>
      <c r="P91" s="505"/>
      <c r="Q91" s="506"/>
    </row>
    <row r="92" spans="1:17" s="422" customFormat="1" ht="15.75" thickBot="1">
      <c r="A92" s="500"/>
      <c r="B92" s="490"/>
      <c r="C92" s="507"/>
      <c r="D92" s="483"/>
      <c r="E92" s="483"/>
      <c r="F92" s="483"/>
      <c r="G92" s="483"/>
      <c r="H92" s="483"/>
      <c r="I92" s="483"/>
      <c r="J92" s="483"/>
      <c r="K92" s="483"/>
      <c r="L92" s="483"/>
      <c r="M92" s="484"/>
      <c r="N92" s="932"/>
      <c r="O92" s="932"/>
      <c r="P92" s="505"/>
      <c r="Q92" s="506"/>
    </row>
    <row r="93" spans="1:17" ht="15" thickTop="1">
      <c r="A93" s="546"/>
      <c r="B93" s="485" t="s">
        <v>1736</v>
      </c>
      <c r="C93" s="501"/>
      <c r="D93" s="501"/>
      <c r="E93" s="530"/>
      <c r="F93" s="530"/>
      <c r="G93" s="530"/>
      <c r="H93" s="530"/>
      <c r="I93" s="530"/>
      <c r="J93" s="530"/>
      <c r="K93" s="531"/>
      <c r="L93" s="532"/>
      <c r="M93" s="533"/>
      <c r="N93" s="931"/>
      <c r="O93" s="931"/>
      <c r="P93" s="42"/>
      <c r="Q93" s="451"/>
    </row>
    <row r="94" spans="1:17" ht="15.75" thickBot="1">
      <c r="A94" s="481"/>
      <c r="B94" s="490"/>
      <c r="C94" s="491">
        <v>100</v>
      </c>
      <c r="D94" s="491">
        <f t="shared" ref="D94:M94" si="21">C94-$K31</f>
        <v>100</v>
      </c>
      <c r="E94" s="491">
        <f t="shared" si="21"/>
        <v>100</v>
      </c>
      <c r="F94" s="491">
        <f t="shared" si="21"/>
        <v>100</v>
      </c>
      <c r="G94" s="491">
        <f t="shared" si="21"/>
        <v>100</v>
      </c>
      <c r="H94" s="491">
        <f t="shared" si="21"/>
        <v>100</v>
      </c>
      <c r="I94" s="491">
        <f t="shared" si="21"/>
        <v>100</v>
      </c>
      <c r="J94" s="491">
        <f t="shared" si="21"/>
        <v>100</v>
      </c>
      <c r="K94" s="491">
        <f t="shared" si="21"/>
        <v>100</v>
      </c>
      <c r="L94" s="491">
        <f t="shared" si="21"/>
        <v>100</v>
      </c>
      <c r="M94" s="492">
        <f t="shared" si="21"/>
        <v>100</v>
      </c>
      <c r="N94" s="932"/>
      <c r="O94" s="932"/>
      <c r="P94" s="42"/>
      <c r="Q94" s="451"/>
    </row>
    <row r="95" spans="1:17" ht="15" thickTop="1">
      <c r="A95" s="546"/>
      <c r="B95" s="485" t="s">
        <v>1738</v>
      </c>
      <c r="C95" s="501"/>
      <c r="D95" s="501"/>
      <c r="E95" s="501"/>
      <c r="F95" s="530"/>
      <c r="G95" s="530"/>
      <c r="H95" s="530"/>
      <c r="I95" s="530"/>
      <c r="J95" s="530"/>
      <c r="K95" s="531"/>
      <c r="L95" s="532"/>
      <c r="M95" s="533"/>
      <c r="N95" s="931"/>
      <c r="O95" s="931"/>
      <c r="P95" s="42"/>
      <c r="Q95" s="451"/>
    </row>
    <row r="96" spans="1:17" ht="15.75" thickBot="1">
      <c r="A96" s="481"/>
      <c r="B96" s="490"/>
      <c r="C96" s="491">
        <v>100</v>
      </c>
      <c r="D96" s="491">
        <f t="shared" ref="D96:M96" si="22">C96-$K32</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2">
        <f t="shared" si="22"/>
        <v>100</v>
      </c>
      <c r="N96" s="932"/>
      <c r="O96" s="932"/>
      <c r="P96" s="42"/>
      <c r="Q96" s="451"/>
    </row>
    <row r="97" spans="1:17" ht="15" thickTop="1">
      <c r="A97" s="546"/>
      <c r="B97" s="485" t="s">
        <v>1188</v>
      </c>
      <c r="C97" s="525" t="str">
        <f>C98&amp;"(含)"&amp;"-"&amp;D98</f>
        <v>0.5(含)-0.6</v>
      </c>
      <c r="D97" s="525" t="str">
        <f>D98&amp;"(含)"&amp;"-"&amp;E98</f>
        <v>0.6(含)-0.7</v>
      </c>
      <c r="E97" s="525" t="str">
        <f>E98&amp;"(含)"&amp;"-"&amp;F98</f>
        <v>0.7(含)-0.8</v>
      </c>
      <c r="F97" s="525" t="str">
        <f>F98&amp;"(含)"&amp;"-"&amp;G98</f>
        <v>0.8(含)-0.9</v>
      </c>
      <c r="G97" s="525" t="str">
        <f>G98&amp;"(含)"&amp;"-"&amp;ROUND(H98,0)&amp;"(含)"</f>
        <v>0.9(含)-1(含)</v>
      </c>
      <c r="H97" s="525"/>
      <c r="I97" s="530"/>
      <c r="J97" s="530"/>
      <c r="K97" s="531"/>
      <c r="L97" s="532"/>
      <c r="M97" s="533"/>
      <c r="N97" s="931"/>
      <c r="O97" s="931"/>
      <c r="P97" s="42"/>
      <c r="Q97" s="451"/>
    </row>
    <row r="98" spans="1:17">
      <c r="A98" s="546"/>
      <c r="B98" s="493"/>
      <c r="C98" s="550">
        <v>0.5</v>
      </c>
      <c r="D98" s="550">
        <v>0.6</v>
      </c>
      <c r="E98" s="550">
        <v>0.7</v>
      </c>
      <c r="F98" s="550">
        <v>0.8</v>
      </c>
      <c r="G98" s="550">
        <v>0.9</v>
      </c>
      <c r="H98" s="550">
        <v>1.0001</v>
      </c>
      <c r="I98" s="569"/>
      <c r="J98" s="569"/>
      <c r="K98" s="570"/>
      <c r="L98" s="571"/>
      <c r="M98" s="572"/>
      <c r="N98" s="931"/>
      <c r="O98" s="931"/>
      <c r="P98" s="42"/>
      <c r="Q98" s="451"/>
    </row>
    <row r="99" spans="1:17" ht="15.75" thickBot="1">
      <c r="A99" s="481"/>
      <c r="B99" s="490"/>
      <c r="C99" s="529">
        <v>100</v>
      </c>
      <c r="D99" s="491">
        <f>C99+$K33</f>
        <v>100</v>
      </c>
      <c r="E99" s="491">
        <f t="shared" ref="E99:M99" si="23">D99+$K33</f>
        <v>100</v>
      </c>
      <c r="F99" s="491">
        <f t="shared" si="23"/>
        <v>100</v>
      </c>
      <c r="G99" s="491">
        <f t="shared" si="23"/>
        <v>100</v>
      </c>
      <c r="H99" s="491">
        <f t="shared" si="23"/>
        <v>100</v>
      </c>
      <c r="I99" s="491">
        <f t="shared" si="23"/>
        <v>100</v>
      </c>
      <c r="J99" s="491">
        <f t="shared" si="23"/>
        <v>100</v>
      </c>
      <c r="K99" s="491">
        <f t="shared" si="23"/>
        <v>100</v>
      </c>
      <c r="L99" s="491">
        <f t="shared" si="23"/>
        <v>100</v>
      </c>
      <c r="M99" s="491">
        <f t="shared" si="23"/>
        <v>100</v>
      </c>
      <c r="N99" s="932"/>
      <c r="O99" s="932"/>
      <c r="P99" s="42"/>
      <c r="Q99" s="451"/>
    </row>
    <row r="100" spans="1:17" s="422" customFormat="1" ht="15" thickTop="1">
      <c r="A100" s="540"/>
      <c r="B100" s="485" t="s">
        <v>1739</v>
      </c>
      <c r="C100" s="501"/>
      <c r="D100" s="501"/>
      <c r="E100" s="501"/>
      <c r="F100" s="501"/>
      <c r="G100" s="501"/>
      <c r="H100" s="530"/>
      <c r="I100" s="530"/>
      <c r="J100" s="530"/>
      <c r="K100" s="531"/>
      <c r="L100" s="532"/>
      <c r="M100" s="533"/>
      <c r="N100" s="933"/>
      <c r="O100" s="933"/>
      <c r="P100" s="505"/>
      <c r="Q100" s="506"/>
    </row>
    <row r="101" spans="1:17" s="422" customFormat="1" ht="15.75" thickBot="1">
      <c r="A101" s="500"/>
      <c r="B101" s="490"/>
      <c r="C101" s="491">
        <v>100</v>
      </c>
      <c r="D101" s="491">
        <f>C101-$K34</f>
        <v>100</v>
      </c>
      <c r="E101" s="491">
        <f t="shared" ref="E101:M101" si="24">D101-$K34</f>
        <v>100</v>
      </c>
      <c r="F101" s="491">
        <f t="shared" si="24"/>
        <v>100</v>
      </c>
      <c r="G101" s="491">
        <f t="shared" si="24"/>
        <v>100</v>
      </c>
      <c r="H101" s="491">
        <f t="shared" si="24"/>
        <v>100</v>
      </c>
      <c r="I101" s="491">
        <f t="shared" si="24"/>
        <v>100</v>
      </c>
      <c r="J101" s="491">
        <f t="shared" si="24"/>
        <v>100</v>
      </c>
      <c r="K101" s="491">
        <f t="shared" si="24"/>
        <v>100</v>
      </c>
      <c r="L101" s="491">
        <f t="shared" si="24"/>
        <v>100</v>
      </c>
      <c r="M101" s="491">
        <f t="shared" si="24"/>
        <v>100</v>
      </c>
      <c r="N101" s="933"/>
      <c r="O101" s="933"/>
      <c r="P101" s="505"/>
      <c r="Q101" s="506"/>
    </row>
    <row r="102" spans="1:17" ht="15" thickTop="1">
      <c r="A102" s="546"/>
      <c r="B102" s="485" t="s">
        <v>1740</v>
      </c>
      <c r="C102" s="501"/>
      <c r="D102" s="501"/>
      <c r="E102" s="501"/>
      <c r="F102" s="501"/>
      <c r="G102" s="501"/>
      <c r="H102" s="530"/>
      <c r="I102" s="530"/>
      <c r="J102" s="530"/>
      <c r="K102" s="531"/>
      <c r="L102" s="532"/>
      <c r="M102" s="533"/>
      <c r="N102" s="931"/>
      <c r="O102" s="931"/>
      <c r="P102" s="42"/>
      <c r="Q102" s="451"/>
    </row>
    <row r="103" spans="1:17" ht="15.75" thickBot="1">
      <c r="A103" s="481"/>
      <c r="B103" s="490"/>
      <c r="C103" s="491">
        <v>100</v>
      </c>
      <c r="D103" s="491">
        <f t="shared" ref="D103:M103" si="25">C103-$K35</f>
        <v>100</v>
      </c>
      <c r="E103" s="491">
        <f t="shared" si="25"/>
        <v>100</v>
      </c>
      <c r="F103" s="491">
        <f t="shared" si="25"/>
        <v>100</v>
      </c>
      <c r="G103" s="491">
        <f t="shared" si="25"/>
        <v>100</v>
      </c>
      <c r="H103" s="491">
        <f t="shared" si="25"/>
        <v>100</v>
      </c>
      <c r="I103" s="491">
        <f t="shared" si="25"/>
        <v>100</v>
      </c>
      <c r="J103" s="491">
        <f t="shared" si="25"/>
        <v>100</v>
      </c>
      <c r="K103" s="491">
        <f t="shared" si="25"/>
        <v>100</v>
      </c>
      <c r="L103" s="491">
        <f t="shared" si="25"/>
        <v>100</v>
      </c>
      <c r="M103" s="492">
        <f t="shared" si="25"/>
        <v>100</v>
      </c>
      <c r="N103" s="932"/>
      <c r="O103" s="932"/>
      <c r="P103" s="42"/>
      <c r="Q103" s="451"/>
    </row>
    <row r="104" spans="1:17" ht="15" thickTop="1">
      <c r="A104" s="546"/>
      <c r="B104" s="485" t="s">
        <v>1742</v>
      </c>
      <c r="C104" s="501"/>
      <c r="D104" s="501"/>
      <c r="E104" s="501"/>
      <c r="F104" s="501"/>
      <c r="G104" s="501"/>
      <c r="H104" s="530"/>
      <c r="I104" s="530"/>
      <c r="J104" s="530"/>
      <c r="K104" s="531"/>
      <c r="L104" s="532"/>
      <c r="M104" s="533"/>
      <c r="N104" s="931"/>
      <c r="O104" s="931"/>
      <c r="P104" s="42"/>
      <c r="Q104" s="451"/>
    </row>
    <row r="105" spans="1:17" ht="15.75" thickBot="1">
      <c r="A105" s="481"/>
      <c r="B105" s="490"/>
      <c r="C105" s="491">
        <v>100</v>
      </c>
      <c r="D105" s="491">
        <f>C105-$K36</f>
        <v>100</v>
      </c>
      <c r="E105" s="491">
        <f>D105-$K36</f>
        <v>100</v>
      </c>
      <c r="F105" s="491">
        <f>E105-$K36</f>
        <v>100</v>
      </c>
      <c r="G105" s="491">
        <f>F105-$K36</f>
        <v>100</v>
      </c>
      <c r="H105" s="491"/>
      <c r="I105" s="491"/>
      <c r="J105" s="491"/>
      <c r="K105" s="491"/>
      <c r="L105" s="491"/>
      <c r="M105" s="492"/>
      <c r="N105" s="932"/>
      <c r="O105" s="932"/>
      <c r="P105" s="42"/>
      <c r="Q105" s="451"/>
    </row>
    <row r="106" spans="1:17" ht="15" thickTop="1">
      <c r="A106" s="546"/>
      <c r="B106" s="582" t="s">
        <v>1828</v>
      </c>
      <c r="C106" s="525" t="s">
        <v>1719</v>
      </c>
      <c r="D106" s="525" t="s">
        <v>1720</v>
      </c>
      <c r="E106" s="525" t="s">
        <v>1721</v>
      </c>
      <c r="F106" s="525" t="s">
        <v>1722</v>
      </c>
      <c r="G106" s="525" t="s">
        <v>1723</v>
      </c>
      <c r="H106" s="486"/>
      <c r="I106" s="486"/>
      <c r="J106" s="486"/>
      <c r="K106" s="487"/>
      <c r="L106" s="488"/>
      <c r="M106" s="489"/>
      <c r="N106" s="932"/>
      <c r="O106" s="932"/>
      <c r="P106" s="583"/>
      <c r="Q106" s="584"/>
    </row>
    <row r="107" spans="1:17" ht="15.75" thickBot="1">
      <c r="A107" s="481"/>
      <c r="B107" s="490"/>
      <c r="C107" s="529">
        <v>100</v>
      </c>
      <c r="D107" s="491">
        <f t="shared" ref="D107:M107" si="26">C107-$K37</f>
        <v>100</v>
      </c>
      <c r="E107" s="491">
        <f t="shared" si="26"/>
        <v>100</v>
      </c>
      <c r="F107" s="491">
        <f t="shared" si="26"/>
        <v>100</v>
      </c>
      <c r="G107" s="491">
        <f t="shared" si="26"/>
        <v>100</v>
      </c>
      <c r="H107" s="491">
        <f t="shared" si="26"/>
        <v>100</v>
      </c>
      <c r="I107" s="491">
        <f t="shared" si="26"/>
        <v>100</v>
      </c>
      <c r="J107" s="491">
        <f t="shared" si="26"/>
        <v>100</v>
      </c>
      <c r="K107" s="491">
        <f t="shared" si="26"/>
        <v>100</v>
      </c>
      <c r="L107" s="491">
        <f t="shared" si="26"/>
        <v>100</v>
      </c>
      <c r="M107" s="491">
        <f t="shared" si="26"/>
        <v>100</v>
      </c>
      <c r="N107" s="932"/>
      <c r="O107" s="932"/>
      <c r="P107" s="42"/>
      <c r="Q107" s="451"/>
    </row>
    <row r="108" spans="1:17" s="422" customFormat="1" ht="15" thickTop="1">
      <c r="A108" s="540"/>
      <c r="B108" s="485">
        <f>B38</f>
        <v>111</v>
      </c>
      <c r="C108" s="501"/>
      <c r="D108" s="501"/>
      <c r="E108" s="501"/>
      <c r="F108" s="501"/>
      <c r="G108" s="501"/>
      <c r="H108" s="502"/>
      <c r="I108" s="502"/>
      <c r="J108" s="502"/>
      <c r="K108" s="502"/>
      <c r="L108" s="503"/>
      <c r="M108" s="504"/>
      <c r="N108" s="933"/>
      <c r="O108" s="933"/>
      <c r="P108" s="505"/>
      <c r="Q108" s="506"/>
    </row>
    <row r="109" spans="1:17" s="422" customFormat="1" ht="15.75" thickBot="1">
      <c r="A109" s="500"/>
      <c r="B109" s="482"/>
      <c r="C109" s="507"/>
      <c r="D109" s="483"/>
      <c r="E109" s="483"/>
      <c r="F109" s="483"/>
      <c r="G109" s="507"/>
      <c r="H109" s="509"/>
      <c r="I109" s="509"/>
      <c r="J109" s="509"/>
      <c r="K109" s="509"/>
      <c r="L109" s="509"/>
      <c r="M109" s="510"/>
      <c r="N109" s="933"/>
      <c r="O109" s="933"/>
      <c r="P109" s="505"/>
      <c r="Q109" s="506"/>
    </row>
    <row r="110" spans="1:17" ht="15" thickTop="1">
      <c r="A110" s="546"/>
      <c r="B110" s="485">
        <f>B39</f>
        <v>111</v>
      </c>
      <c r="C110" s="501"/>
      <c r="D110" s="501"/>
      <c r="E110" s="501"/>
      <c r="F110" s="501"/>
      <c r="G110" s="501"/>
      <c r="H110" s="502"/>
      <c r="I110" s="502"/>
      <c r="J110" s="502"/>
      <c r="K110" s="502"/>
      <c r="L110" s="503"/>
      <c r="M110" s="504"/>
      <c r="N110" s="931"/>
      <c r="O110" s="931"/>
      <c r="P110" s="42"/>
      <c r="Q110" s="451"/>
    </row>
    <row r="111" spans="1:17" ht="15.75" thickBot="1">
      <c r="A111" s="481"/>
      <c r="B111" s="490"/>
      <c r="C111" s="507"/>
      <c r="D111" s="483"/>
      <c r="E111" s="483"/>
      <c r="F111" s="483"/>
      <c r="G111" s="507"/>
      <c r="H111" s="509"/>
      <c r="I111" s="509"/>
      <c r="J111" s="509"/>
      <c r="K111" s="509"/>
      <c r="L111" s="509"/>
      <c r="M111" s="510"/>
      <c r="N111" s="932"/>
      <c r="O111" s="932"/>
      <c r="P111" s="42"/>
      <c r="Q111" s="451"/>
    </row>
    <row r="112" spans="1:17" ht="15" thickTop="1">
      <c r="A112" s="546"/>
      <c r="B112" s="493">
        <f>B40</f>
        <v>111</v>
      </c>
      <c r="C112" s="470"/>
      <c r="D112" s="470"/>
      <c r="E112" s="470"/>
      <c r="F112" s="470"/>
      <c r="G112" s="534"/>
      <c r="H112" s="534"/>
      <c r="I112" s="534"/>
      <c r="J112" s="534"/>
      <c r="K112" s="470"/>
      <c r="L112" s="471"/>
      <c r="M112" s="537"/>
      <c r="N112" s="931"/>
      <c r="O112" s="931"/>
      <c r="P112" s="42"/>
      <c r="Q112" s="451"/>
    </row>
    <row r="113" spans="1:17" ht="15.75" thickBot="1">
      <c r="A113" s="1922"/>
      <c r="B113" s="516"/>
      <c r="C113" s="517"/>
      <c r="D113" s="517"/>
      <c r="E113" s="517"/>
      <c r="F113" s="517"/>
      <c r="G113" s="538"/>
      <c r="H113" s="538"/>
      <c r="I113" s="538"/>
      <c r="J113" s="538"/>
      <c r="K113" s="538"/>
      <c r="L113" s="538"/>
      <c r="M113" s="539"/>
      <c r="N113" s="932"/>
      <c r="O113" s="932"/>
      <c r="P113" s="42"/>
      <c r="Q113" s="45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4"/>
  <sheetViews>
    <sheetView workbookViewId="0">
      <pane ySplit="5" topLeftCell="A6" activePane="bottomLeft" state="frozen"/>
      <selection pane="bottomLeft" activeCell="M1" sqref="M1"/>
    </sheetView>
  </sheetViews>
  <sheetFormatPr defaultRowHeight="13.5"/>
  <sheetData>
    <row r="1" spans="1:2">
      <c r="A1" s="3441" t="s">
        <v>3848</v>
      </c>
      <c r="B1" s="3441" t="s">
        <v>3853</v>
      </c>
    </row>
    <row r="2" spans="1:2">
      <c r="A2" s="3441" t="s">
        <v>3849</v>
      </c>
      <c r="B2">
        <v>122608</v>
      </c>
    </row>
    <row r="3" spans="1:2">
      <c r="A3" s="3441" t="s">
        <v>3850</v>
      </c>
      <c r="B3">
        <v>118502</v>
      </c>
    </row>
    <row r="4" spans="1:2">
      <c r="A4" s="3441" t="s">
        <v>3899</v>
      </c>
      <c r="B4">
        <v>113017</v>
      </c>
    </row>
  </sheetData>
  <phoneticPr fontId="134"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80" zoomScaleNormal="70" zoomScaleSheetLayoutView="80" workbookViewId="0">
      <selection activeCell="K26" sqref="K26"/>
    </sheetView>
  </sheetViews>
  <sheetFormatPr defaultColWidth="9" defaultRowHeight="14.25"/>
  <cols>
    <col min="1" max="1" width="10.5" style="357" customWidth="1"/>
    <col min="2" max="2" width="15.75" style="357" customWidth="1"/>
    <col min="3" max="3" width="16.75" style="357" customWidth="1"/>
    <col min="4" max="4" width="12.25" style="357" customWidth="1"/>
    <col min="5" max="5" width="16.375" style="357" customWidth="1"/>
    <col min="6" max="6" width="12.25" style="357" customWidth="1"/>
    <col min="7" max="7" width="18.625" style="357" customWidth="1"/>
    <col min="8" max="8" width="12.25" style="357" customWidth="1"/>
    <col min="9" max="9" width="16.2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3327</v>
      </c>
      <c r="C1" s="1221" t="s">
        <v>1660</v>
      </c>
      <c r="D1" s="1222" t="s">
        <v>3327</v>
      </c>
      <c r="E1" s="3424" t="s">
        <v>3879</v>
      </c>
      <c r="F1" s="1876" t="s">
        <v>3852</v>
      </c>
      <c r="G1" s="1232" t="s">
        <v>1765</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1460</v>
      </c>
      <c r="B2" s="1162">
        <f>IF(E1="项目模式",IF(C2="——",ROUND(C37*D3/10000,0),ROUND(C37*D3/10000,0)-D2),IF(E1="单套模式",IF(C2="——",ROUND(C37*D3/10000,4),ROUND(C37*D3/10000,4)-D2)))</f>
        <v>64751</v>
      </c>
      <c r="C2" s="1878" t="s">
        <v>43</v>
      </c>
      <c r="D2" s="905" t="e">
        <f ca="1">IF(E1="项目模式",SUMIF(INDIRECT("'"&amp;F2&amp;"'"&amp;"!A:A"),"承租人权益价值",INDIRECT("'"&amp;F2&amp;"'"&amp;"!c:c")),SUMIF(INDIRECT("'"&amp;F2&amp;"'"&amp;"!A:A"),"承租人权益价值（单套）",INDIRECT("'"&amp;F2&amp;"'"&amp;"!c:c")))</f>
        <v>#REF!</v>
      </c>
      <c r="E2" s="1879" t="s">
        <v>1461</v>
      </c>
      <c r="F2" s="1880"/>
      <c r="G2" s="906"/>
      <c r="H2" s="906"/>
      <c r="I2" s="906"/>
      <c r="J2" s="906"/>
      <c r="K2" s="908"/>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1462</v>
      </c>
      <c r="B3" s="556">
        <f>IF(C2="——",C37,ROUND(B2*10000/D3,0))</f>
        <v>30757</v>
      </c>
      <c r="C3" s="354" t="s">
        <v>1766</v>
      </c>
      <c r="D3" s="353">
        <f>SUMIF('数据-汇总表'!$C19:$C33,D1,'数据-汇总表'!$E19:$E33)</f>
        <v>21052.319999999996</v>
      </c>
      <c r="E3" s="906"/>
      <c r="F3" s="907"/>
      <c r="G3" s="906"/>
      <c r="H3" s="906"/>
      <c r="I3" s="906"/>
      <c r="J3" s="906"/>
      <c r="K3" s="908"/>
      <c r="L3" s="2725"/>
      <c r="M3" s="2726"/>
      <c r="N3" s="2726"/>
      <c r="O3" s="2726"/>
      <c r="P3" s="697"/>
      <c r="Q3" s="697"/>
      <c r="R3" s="697"/>
      <c r="S3" s="697"/>
      <c r="T3" s="697"/>
      <c r="U3" s="697"/>
      <c r="V3" s="697"/>
      <c r="W3" s="697"/>
      <c r="X3" s="697"/>
      <c r="Y3" s="697"/>
      <c r="Z3" s="697"/>
      <c r="AA3" s="697"/>
      <c r="AB3" s="714"/>
      <c r="AC3" s="711"/>
    </row>
    <row r="4" spans="1:29" ht="15">
      <c r="A4" s="355" t="s">
        <v>1767</v>
      </c>
      <c r="B4" s="356"/>
      <c r="C4" s="3663" t="s">
        <v>1768</v>
      </c>
      <c r="D4" s="3675"/>
      <c r="E4" s="3676" t="s">
        <v>1769</v>
      </c>
      <c r="F4" s="3677"/>
      <c r="G4" s="3663" t="s">
        <v>1770</v>
      </c>
      <c r="H4" s="3675"/>
      <c r="I4" s="3663" t="s">
        <v>1771</v>
      </c>
      <c r="J4" s="3675"/>
      <c r="K4" s="557" t="s">
        <v>1772</v>
      </c>
      <c r="L4" s="2706"/>
      <c r="M4" s="2707"/>
      <c r="N4" s="2707"/>
      <c r="O4" s="2707"/>
      <c r="P4" s="3678" t="s">
        <v>1773</v>
      </c>
      <c r="Q4" s="3679"/>
      <c r="R4" s="3684" t="s">
        <v>1769</v>
      </c>
      <c r="S4" s="3685"/>
      <c r="T4" s="3684" t="s">
        <v>1770</v>
      </c>
      <c r="U4" s="3685"/>
      <c r="V4" s="3671" t="s">
        <v>1771</v>
      </c>
      <c r="W4" s="3671"/>
      <c r="X4" s="1352"/>
      <c r="Y4" s="3684" t="s">
        <v>1773</v>
      </c>
      <c r="Z4" s="3685"/>
      <c r="AA4" s="3672" t="s">
        <v>1769</v>
      </c>
      <c r="AB4" s="3673" t="s">
        <v>1770</v>
      </c>
      <c r="AC4" s="3672" t="s">
        <v>1771</v>
      </c>
    </row>
    <row r="5" spans="1:29" ht="15">
      <c r="A5" s="358"/>
      <c r="B5" s="359"/>
      <c r="C5" s="3735" t="s">
        <v>3882</v>
      </c>
      <c r="D5" s="3693"/>
      <c r="E5" s="3699" t="str">
        <f>仓储售价!A2</f>
        <v>香山樾</v>
      </c>
      <c r="F5" s="3700"/>
      <c r="G5" s="3692" t="str">
        <f>仓储售价!A3</f>
        <v>融创香山壹号院</v>
      </c>
      <c r="H5" s="3693"/>
      <c r="I5" s="3692" t="str">
        <f>仓储售价!A4</f>
        <v>学府壹号院</v>
      </c>
      <c r="J5" s="3693"/>
      <c r="K5" s="557"/>
      <c r="L5" s="2706"/>
      <c r="M5" s="2707"/>
      <c r="N5" s="2707"/>
      <c r="O5" s="2707"/>
      <c r="P5" s="3680"/>
      <c r="Q5" s="3681"/>
      <c r="R5" s="3686"/>
      <c r="S5" s="3687"/>
      <c r="T5" s="3686"/>
      <c r="U5" s="3687"/>
      <c r="V5" s="3671"/>
      <c r="W5" s="3671"/>
      <c r="X5" s="1352"/>
      <c r="Y5" s="3686"/>
      <c r="Z5" s="3687"/>
      <c r="AA5" s="3673"/>
      <c r="AB5" s="3673"/>
      <c r="AC5" s="3673"/>
    </row>
    <row r="6" spans="1:29" ht="15.75" thickBot="1">
      <c r="A6" s="360"/>
      <c r="B6" s="361"/>
      <c r="C6" s="3690" t="s">
        <v>1675</v>
      </c>
      <c r="D6" s="3691"/>
      <c r="E6" s="3697" t="s">
        <v>1675</v>
      </c>
      <c r="F6" s="3698"/>
      <c r="G6" s="3690" t="s">
        <v>1675</v>
      </c>
      <c r="H6" s="3691"/>
      <c r="I6" s="3690" t="s">
        <v>1675</v>
      </c>
      <c r="J6" s="3691"/>
      <c r="K6" s="557" t="s">
        <v>1676</v>
      </c>
      <c r="L6" s="2706"/>
      <c r="M6" s="2707"/>
      <c r="N6" s="2707"/>
      <c r="O6" s="2707"/>
      <c r="P6" s="3682"/>
      <c r="Q6" s="3683"/>
      <c r="R6" s="3686"/>
      <c r="S6" s="3687"/>
      <c r="T6" s="3688"/>
      <c r="U6" s="3689"/>
      <c r="V6" s="3671"/>
      <c r="W6" s="3671"/>
      <c r="X6" s="1352"/>
      <c r="Y6" s="3688"/>
      <c r="Z6" s="3689"/>
      <c r="AA6" s="3674"/>
      <c r="AB6" s="3674"/>
      <c r="AC6" s="3674"/>
    </row>
    <row r="7" spans="1:29" s="108" customFormat="1" ht="15.75" thickBot="1">
      <c r="A7" s="362" t="s">
        <v>1677</v>
      </c>
      <c r="B7" s="363"/>
      <c r="C7" s="364">
        <f>'数据-取费表'!B2</f>
        <v>45576</v>
      </c>
      <c r="D7" s="365">
        <v>100</v>
      </c>
      <c r="E7" s="366">
        <f>C7</f>
        <v>45576</v>
      </c>
      <c r="F7" s="367">
        <f>SUMIF(46:46,YEAR(E7)&amp;"-"&amp;MONTH(E7),47:47)</f>
        <v>100</v>
      </c>
      <c r="G7" s="366">
        <f>E7</f>
        <v>45576</v>
      </c>
      <c r="H7" s="365">
        <f>SUMIF(46:46,YEAR(G7)&amp;"-"&amp;MONTH(G7),47:47)</f>
        <v>100</v>
      </c>
      <c r="I7" s="366">
        <f>G7</f>
        <v>45576</v>
      </c>
      <c r="J7" s="365">
        <f>SUMIF(46:46,YEAR(I7)&amp;"-"&amp;MONTH(I7),47:47)</f>
        <v>100</v>
      </c>
      <c r="K7" s="558"/>
      <c r="L7" s="2708"/>
      <c r="M7" s="2709"/>
      <c r="N7" s="2709"/>
      <c r="O7" s="2709"/>
      <c r="P7" s="3694" t="s">
        <v>1678</v>
      </c>
      <c r="Q7" s="3696"/>
      <c r="R7" s="699" t="s">
        <v>14</v>
      </c>
      <c r="S7" s="700">
        <f t="shared" ref="S7:S14" si="0">F7</f>
        <v>100</v>
      </c>
      <c r="T7" s="699" t="s">
        <v>14</v>
      </c>
      <c r="U7" s="700">
        <f t="shared" ref="U7:U14" si="1">H7</f>
        <v>100</v>
      </c>
      <c r="V7" s="699" t="s">
        <v>14</v>
      </c>
      <c r="W7" s="700">
        <f t="shared" ref="W7:W14" si="2">J7</f>
        <v>100</v>
      </c>
      <c r="X7" s="701"/>
      <c r="Y7" s="3694" t="s">
        <v>1678</v>
      </c>
      <c r="Z7" s="3695"/>
      <c r="AA7" s="702">
        <f>D7/F7</f>
        <v>1</v>
      </c>
      <c r="AB7" s="702">
        <f>D7/H7</f>
        <v>1</v>
      </c>
      <c r="AC7" s="702">
        <f>D7/J7</f>
        <v>1</v>
      </c>
    </row>
    <row r="8" spans="1:29" s="108" customFormat="1" ht="15.75" thickBot="1">
      <c r="A8" s="362" t="s">
        <v>1679</v>
      </c>
      <c r="B8" s="363"/>
      <c r="C8" s="368" t="s">
        <v>3510</v>
      </c>
      <c r="D8" s="365">
        <v>100</v>
      </c>
      <c r="E8" s="368" t="s">
        <v>3510</v>
      </c>
      <c r="F8" s="367">
        <f>SUMIF(49:49,E8,50:50)-SUMIF(49:49,C8,50:50)+100</f>
        <v>100</v>
      </c>
      <c r="G8" s="368" t="s">
        <v>3510</v>
      </c>
      <c r="H8" s="365">
        <f>SUMIF(49:49,G8,50:50)-SUMIF(49:49,C8,50:50)+100</f>
        <v>100</v>
      </c>
      <c r="I8" s="368" t="s">
        <v>3510</v>
      </c>
      <c r="J8" s="365">
        <f>SUMIF(49:49,I8,50:50)-SUMIF(49:49,C8,50:50)+100</f>
        <v>100</v>
      </c>
      <c r="K8" s="558"/>
      <c r="L8" s="2708"/>
      <c r="M8" s="2709"/>
      <c r="N8" s="2709"/>
      <c r="O8" s="2709"/>
      <c r="P8" s="3694" t="s">
        <v>1681</v>
      </c>
      <c r="Q8" s="3695"/>
      <c r="R8" s="699" t="s">
        <v>14</v>
      </c>
      <c r="S8" s="700">
        <f t="shared" si="0"/>
        <v>100</v>
      </c>
      <c r="T8" s="699" t="s">
        <v>14</v>
      </c>
      <c r="U8" s="700">
        <f t="shared" si="1"/>
        <v>100</v>
      </c>
      <c r="V8" s="699" t="s">
        <v>14</v>
      </c>
      <c r="W8" s="700">
        <f t="shared" si="2"/>
        <v>100</v>
      </c>
      <c r="X8" s="701"/>
      <c r="Y8" s="3694" t="s">
        <v>1681</v>
      </c>
      <c r="Z8" s="3695"/>
      <c r="AA8" s="702">
        <f t="shared" ref="AA8:AA34" si="3">D8/F8</f>
        <v>1</v>
      </c>
      <c r="AB8" s="702">
        <f t="shared" ref="AB8:AB34" si="4">D8/H8</f>
        <v>1</v>
      </c>
      <c r="AC8" s="702">
        <f t="shared" ref="AC8:AC34" si="5">D8/J8</f>
        <v>1</v>
      </c>
    </row>
    <row r="9" spans="1:29" s="108" customFormat="1">
      <c r="A9" s="369" t="s">
        <v>1682</v>
      </c>
      <c r="B9" s="63" t="s">
        <v>1683</v>
      </c>
      <c r="C9" s="3465" t="s">
        <v>3883</v>
      </c>
      <c r="D9" s="126">
        <v>100</v>
      </c>
      <c r="E9" s="373" t="s">
        <v>3327</v>
      </c>
      <c r="F9" s="372">
        <f>SUMIF(51:51,E9,52:52)-SUMIF(51:51,C9,52:52)+100</f>
        <v>100</v>
      </c>
      <c r="G9" s="373" t="s">
        <v>3327</v>
      </c>
      <c r="H9" s="126">
        <f>SUMIF(51:51,G9,52:52)-SUMIF(51:51,C9,52:52)+100</f>
        <v>100</v>
      </c>
      <c r="I9" s="373" t="s">
        <v>3327</v>
      </c>
      <c r="J9" s="126">
        <f>SUMIF(51:51,I9,52:52)-SUMIF(51:51,C9,52:52)+100</f>
        <v>100</v>
      </c>
      <c r="K9" s="558"/>
      <c r="L9" s="2708"/>
      <c r="M9" s="2709"/>
      <c r="N9" s="2709"/>
      <c r="O9" s="2763"/>
      <c r="P9" s="3666" t="s">
        <v>1684</v>
      </c>
      <c r="Q9" s="1340" t="str">
        <f t="shared" ref="Q9:Q14" si="6">B9</f>
        <v>用途</v>
      </c>
      <c r="R9" s="699" t="s">
        <v>14</v>
      </c>
      <c r="S9" s="700">
        <f t="shared" si="0"/>
        <v>100</v>
      </c>
      <c r="T9" s="699" t="s">
        <v>14</v>
      </c>
      <c r="U9" s="700">
        <f t="shared" si="1"/>
        <v>100</v>
      </c>
      <c r="V9" s="699" t="s">
        <v>14</v>
      </c>
      <c r="W9" s="700">
        <f t="shared" si="2"/>
        <v>100</v>
      </c>
      <c r="X9" s="701"/>
      <c r="Y9" s="3563" t="s">
        <v>1685</v>
      </c>
      <c r="Z9" s="52" t="str">
        <f t="shared" ref="Z9:Z14" si="7">Q9</f>
        <v>用途</v>
      </c>
      <c r="AA9" s="702">
        <f t="shared" si="3"/>
        <v>1</v>
      </c>
      <c r="AB9" s="702">
        <f t="shared" si="4"/>
        <v>1</v>
      </c>
      <c r="AC9" s="702">
        <f t="shared" si="5"/>
        <v>1</v>
      </c>
    </row>
    <row r="10" spans="1:29" s="378" customFormat="1" ht="27.75" thickBot="1">
      <c r="A10" s="374"/>
      <c r="B10" s="375" t="s">
        <v>1686</v>
      </c>
      <c r="C10" s="3425"/>
      <c r="D10" s="127">
        <v>100</v>
      </c>
      <c r="E10" s="3425"/>
      <c r="F10" s="376">
        <f>SUMIF(53:53,E10,54:54)-SUMIF(53:53,C10,54:54)+100</f>
        <v>100</v>
      </c>
      <c r="G10" s="3425"/>
      <c r="H10" s="127">
        <f>SUMIF(53:53,G10,54:54)-SUMIF(53:53,C10,54:54)+100</f>
        <v>100</v>
      </c>
      <c r="I10" s="3425"/>
      <c r="J10" s="127">
        <f>SUMIF(53:53,I10,54:54)-SUMIF(53:53,C10,54:54)+100</f>
        <v>100</v>
      </c>
      <c r="K10" s="558"/>
      <c r="L10" s="2710"/>
      <c r="M10" s="2711"/>
      <c r="N10" s="2711"/>
      <c r="O10" s="2764"/>
      <c r="P10" s="3666"/>
      <c r="Q10" s="1340"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702">
        <f t="shared" si="5"/>
        <v>1</v>
      </c>
    </row>
    <row r="11" spans="1:29" ht="15" hidden="1">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0"/>
      <c r="L11" s="2712"/>
      <c r="M11" s="2707"/>
      <c r="N11" s="2707"/>
      <c r="O11" s="2765"/>
      <c r="P11" s="3666"/>
      <c r="Q11" s="1340">
        <f t="shared" si="6"/>
        <v>111</v>
      </c>
      <c r="R11" s="699" t="s">
        <v>14</v>
      </c>
      <c r="S11" s="700">
        <f t="shared" si="0"/>
        <v>100</v>
      </c>
      <c r="T11" s="699" t="s">
        <v>14</v>
      </c>
      <c r="U11" s="700">
        <f t="shared" si="1"/>
        <v>100</v>
      </c>
      <c r="V11" s="699" t="s">
        <v>14</v>
      </c>
      <c r="W11" s="700">
        <f t="shared" si="2"/>
        <v>100</v>
      </c>
      <c r="X11" s="701"/>
      <c r="Y11" s="3563"/>
      <c r="Z11" s="52">
        <f t="shared" si="7"/>
        <v>111</v>
      </c>
      <c r="AA11" s="702">
        <f t="shared" si="3"/>
        <v>1</v>
      </c>
      <c r="AB11" s="702">
        <f t="shared" si="4"/>
        <v>1</v>
      </c>
      <c r="AC11" s="702">
        <f t="shared" si="5"/>
        <v>1</v>
      </c>
    </row>
    <row r="12" spans="1:29" s="108" customFormat="1" ht="15" hidden="1">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0"/>
      <c r="L12" s="2708"/>
      <c r="M12" s="2709"/>
      <c r="N12" s="2709"/>
      <c r="O12" s="2763"/>
      <c r="P12" s="3666"/>
      <c r="Q12" s="1340">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702">
        <f>D12/J12</f>
        <v>1</v>
      </c>
    </row>
    <row r="13" spans="1:29" ht="15.75" hidden="1" thickBot="1">
      <c r="A13" s="379"/>
      <c r="B13" s="1889">
        <v>111</v>
      </c>
      <c r="C13" s="385"/>
      <c r="D13" s="386">
        <v>100</v>
      </c>
      <c r="E13" s="420"/>
      <c r="F13" s="376">
        <f>SUMIF(59:59,E13,60:60)-SUMIF(59:59,C13,60:60)+100</f>
        <v>100</v>
      </c>
      <c r="G13" s="1969"/>
      <c r="H13" s="389">
        <f>SUMIF(59:59,G13,60:60)-SUMIF(59:59,C13,60:60)+100</f>
        <v>100</v>
      </c>
      <c r="I13" s="420"/>
      <c r="J13" s="386">
        <f>SUMIF(59:59,I13,60:60)-SUMIF(59:59,C13,60:60)+100</f>
        <v>100</v>
      </c>
      <c r="K13" s="560"/>
      <c r="L13" s="2713"/>
      <c r="M13" s="2707"/>
      <c r="N13" s="2707"/>
      <c r="O13" s="2765"/>
      <c r="P13" s="3666"/>
      <c r="Q13" s="1340">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702">
        <f t="shared" si="5"/>
        <v>1</v>
      </c>
    </row>
    <row r="14" spans="1:29" ht="15">
      <c r="A14" s="391" t="s">
        <v>1688</v>
      </c>
      <c r="B14" s="61" t="s">
        <v>1831</v>
      </c>
      <c r="C14" s="1965" t="str">
        <f>IF(B1="工业",估价对象房地状况!G4,估价对象房地状况!C6)</f>
        <v>一般</v>
      </c>
      <c r="D14" s="392">
        <v>100</v>
      </c>
      <c r="E14" s="393" t="s">
        <v>3503</v>
      </c>
      <c r="F14" s="394">
        <f>SUMIF(61:61,E15,62:62)-SUMIF(61:61,C15,62:62)+100</f>
        <v>100</v>
      </c>
      <c r="G14" s="393" t="s">
        <v>3503</v>
      </c>
      <c r="H14" s="392">
        <f>SUMIF(61:61,G15,62:62)-SUMIF(61:61,C15,62:62)+100</f>
        <v>100</v>
      </c>
      <c r="I14" s="393" t="s">
        <v>3503</v>
      </c>
      <c r="J14" s="392">
        <f>SUMIF(61:61,I15,62:62)-SUMIF(61:61,C15,62:62)+100</f>
        <v>100</v>
      </c>
      <c r="K14" s="561">
        <v>2</v>
      </c>
      <c r="L14" s="2713"/>
      <c r="M14" s="2707"/>
      <c r="N14" s="2707"/>
      <c r="O14" s="2765"/>
      <c r="P14" s="3667" t="s">
        <v>1689</v>
      </c>
      <c r="Q14" s="1349" t="str">
        <f t="shared" si="6"/>
        <v>交通便捷度</v>
      </c>
      <c r="R14" s="703" t="s">
        <v>14</v>
      </c>
      <c r="S14" s="704">
        <f t="shared" si="0"/>
        <v>100</v>
      </c>
      <c r="T14" s="703" t="s">
        <v>14</v>
      </c>
      <c r="U14" s="704">
        <f t="shared" si="1"/>
        <v>100</v>
      </c>
      <c r="V14" s="703" t="s">
        <v>14</v>
      </c>
      <c r="W14" s="704">
        <f t="shared" si="2"/>
        <v>100</v>
      </c>
      <c r="X14" s="1352"/>
      <c r="Y14" s="3667" t="s">
        <v>1689</v>
      </c>
      <c r="Z14" s="1353" t="str">
        <f t="shared" si="7"/>
        <v>交通便捷度</v>
      </c>
      <c r="AA14" s="1350">
        <f t="shared" si="3"/>
        <v>1</v>
      </c>
      <c r="AB14" s="1350">
        <f t="shared" si="4"/>
        <v>1</v>
      </c>
      <c r="AC14" s="1350">
        <f t="shared" si="5"/>
        <v>1</v>
      </c>
    </row>
    <row r="15" spans="1:29" ht="15">
      <c r="A15" s="379"/>
      <c r="B15" s="397"/>
      <c r="C15" s="398" t="s">
        <v>3503</v>
      </c>
      <c r="D15" s="399"/>
      <c r="E15" s="398" t="s">
        <v>3503</v>
      </c>
      <c r="F15" s="400"/>
      <c r="G15" s="398" t="s">
        <v>3503</v>
      </c>
      <c r="H15" s="401"/>
      <c r="I15" s="398" t="s">
        <v>3503</v>
      </c>
      <c r="J15" s="399"/>
      <c r="K15" s="562"/>
      <c r="L15" s="2713"/>
      <c r="M15" s="2707"/>
      <c r="N15" s="2707"/>
      <c r="O15" s="2765"/>
      <c r="P15" s="3668"/>
      <c r="Q15" s="1349"/>
      <c r="R15" s="703"/>
      <c r="S15" s="704"/>
      <c r="T15" s="703"/>
      <c r="U15" s="704"/>
      <c r="V15" s="703"/>
      <c r="W15" s="704"/>
      <c r="X15" s="1352"/>
      <c r="Y15" s="3668"/>
      <c r="Z15" s="1353"/>
      <c r="AA15" s="1350">
        <v>1</v>
      </c>
      <c r="AB15" s="1350">
        <v>1</v>
      </c>
      <c r="AC15" s="1350">
        <v>1</v>
      </c>
    </row>
    <row r="16" spans="1:29" ht="15">
      <c r="A16" s="379"/>
      <c r="B16" s="402" t="s">
        <v>1810</v>
      </c>
      <c r="C16" s="1896" t="str">
        <f>IF(B1="工业",估价对象房地状况!G5,估价对象房地状况!C7)</f>
        <v>一般</v>
      </c>
      <c r="D16" s="406">
        <v>100</v>
      </c>
      <c r="E16" s="408" t="s">
        <v>3503</v>
      </c>
      <c r="F16" s="409">
        <f>SUMIF(63:63,E17,64:64)-SUMIF(63:63,C17,64:64)+100</f>
        <v>100</v>
      </c>
      <c r="G16" s="408" t="s">
        <v>3503</v>
      </c>
      <c r="H16" s="406">
        <f>SUMIF(63:63,G17,64:64)-SUMIF(63:63,C17,64:64)+100</f>
        <v>100</v>
      </c>
      <c r="I16" s="408" t="s">
        <v>3503</v>
      </c>
      <c r="J16" s="406">
        <f>SUMIF(63:63,I17,64:64)-SUMIF(63:63,C17,64:64)+100</f>
        <v>100</v>
      </c>
      <c r="K16" s="561">
        <v>2</v>
      </c>
      <c r="L16" s="2713"/>
      <c r="M16" s="2707"/>
      <c r="N16" s="2707"/>
      <c r="O16" s="2765"/>
      <c r="P16" s="3668"/>
      <c r="Q16" s="1349" t="str">
        <f>B16</f>
        <v>公共配套设施</v>
      </c>
      <c r="R16" s="703" t="s">
        <v>14</v>
      </c>
      <c r="S16" s="704">
        <f>F16</f>
        <v>100</v>
      </c>
      <c r="T16" s="703" t="s">
        <v>14</v>
      </c>
      <c r="U16" s="704">
        <f>H16</f>
        <v>100</v>
      </c>
      <c r="V16" s="703" t="s">
        <v>14</v>
      </c>
      <c r="W16" s="704">
        <f>J16</f>
        <v>100</v>
      </c>
      <c r="X16" s="1352"/>
      <c r="Y16" s="3668"/>
      <c r="Z16" s="1353" t="str">
        <f>Q16</f>
        <v>公共配套设施</v>
      </c>
      <c r="AA16" s="1350">
        <f t="shared" si="3"/>
        <v>1</v>
      </c>
      <c r="AB16" s="1350">
        <f t="shared" si="4"/>
        <v>1</v>
      </c>
      <c r="AC16" s="1350">
        <f t="shared" si="5"/>
        <v>1</v>
      </c>
    </row>
    <row r="17" spans="1:29" ht="15">
      <c r="A17" s="379"/>
      <c r="B17" s="407"/>
      <c r="C17" s="1897" t="s">
        <v>3503</v>
      </c>
      <c r="D17" s="399"/>
      <c r="E17" s="398" t="s">
        <v>3503</v>
      </c>
      <c r="F17" s="400"/>
      <c r="G17" s="398" t="s">
        <v>3503</v>
      </c>
      <c r="H17" s="399"/>
      <c r="I17" s="398" t="s">
        <v>3503</v>
      </c>
      <c r="J17" s="399"/>
      <c r="K17" s="562"/>
      <c r="L17" s="2713"/>
      <c r="M17" s="2707"/>
      <c r="N17" s="2707"/>
      <c r="O17" s="2765"/>
      <c r="P17" s="3668"/>
      <c r="Q17" s="1349"/>
      <c r="R17" s="703"/>
      <c r="S17" s="704"/>
      <c r="T17" s="703"/>
      <c r="U17" s="704"/>
      <c r="V17" s="703"/>
      <c r="W17" s="704"/>
      <c r="X17" s="1352"/>
      <c r="Y17" s="3668"/>
      <c r="Z17" s="1353"/>
      <c r="AA17" s="1350">
        <v>1</v>
      </c>
      <c r="AB17" s="1350">
        <v>1</v>
      </c>
      <c r="AC17" s="1350">
        <v>1</v>
      </c>
    </row>
    <row r="18" spans="1:29" ht="15">
      <c r="A18" s="379"/>
      <c r="B18" s="1129" t="s">
        <v>1811</v>
      </c>
      <c r="C18" s="1896" t="str">
        <f>IF(B1="工业",估价对象房地状况!G6,估价对象房地状况!C8)</f>
        <v>六通</v>
      </c>
      <c r="D18" s="406">
        <v>100</v>
      </c>
      <c r="E18" s="403" t="s">
        <v>3507</v>
      </c>
      <c r="F18" s="409">
        <f>SUMIF(65:65,E19,66:66)-SUMIF(65:65,C19,66:66)+100</f>
        <v>100</v>
      </c>
      <c r="G18" s="3469" t="s">
        <v>3884</v>
      </c>
      <c r="H18" s="406">
        <f>SUMIF(65:65,G19,66:66)-SUMIF(65:65,C19,66:66)+100</f>
        <v>101</v>
      </c>
      <c r="I18" s="3469" t="s">
        <v>3884</v>
      </c>
      <c r="J18" s="406">
        <f>SUMIF(65:65,I19,66:66)-SUMIF(65:65,C19,66:66)+100</f>
        <v>101</v>
      </c>
      <c r="K18" s="561">
        <v>1</v>
      </c>
      <c r="L18" s="2713"/>
      <c r="M18" s="2707"/>
      <c r="N18" s="2707"/>
      <c r="O18" s="2765"/>
      <c r="P18" s="3668"/>
      <c r="Q18" s="1349" t="str">
        <f>B18</f>
        <v>基础设施水平</v>
      </c>
      <c r="R18" s="703" t="s">
        <v>14</v>
      </c>
      <c r="S18" s="704">
        <f>F18</f>
        <v>100</v>
      </c>
      <c r="T18" s="703" t="s">
        <v>14</v>
      </c>
      <c r="U18" s="704">
        <f>H18</f>
        <v>101</v>
      </c>
      <c r="V18" s="703" t="s">
        <v>14</v>
      </c>
      <c r="W18" s="704">
        <f>J18</f>
        <v>101</v>
      </c>
      <c r="X18" s="1352"/>
      <c r="Y18" s="3668"/>
      <c r="Z18" s="1353" t="str">
        <f>Q18</f>
        <v>基础设施水平</v>
      </c>
      <c r="AA18" s="1350">
        <f t="shared" ref="AA18" si="8">D18/F18</f>
        <v>1</v>
      </c>
      <c r="AB18" s="1350">
        <f t="shared" ref="AB18" si="9">D18/H18</f>
        <v>0.99009900990099009</v>
      </c>
      <c r="AC18" s="1350">
        <f t="shared" ref="AC18" si="10">D18/J18</f>
        <v>0.99009900990099009</v>
      </c>
    </row>
    <row r="19" spans="1:29" ht="15">
      <c r="A19" s="379"/>
      <c r="B19" s="1129"/>
      <c r="C19" s="1897" t="s">
        <v>3507</v>
      </c>
      <c r="D19" s="401"/>
      <c r="E19" s="1897" t="s">
        <v>3507</v>
      </c>
      <c r="F19" s="404"/>
      <c r="G19" s="1897" t="s">
        <v>3514</v>
      </c>
      <c r="H19" s="399"/>
      <c r="I19" s="1897" t="s">
        <v>3514</v>
      </c>
      <c r="J19" s="399"/>
      <c r="K19" s="1128"/>
      <c r="L19" s="2713"/>
      <c r="M19" s="2707"/>
      <c r="N19" s="2707"/>
      <c r="O19" s="2765"/>
      <c r="P19" s="3668"/>
      <c r="Q19" s="1349"/>
      <c r="R19" s="703"/>
      <c r="S19" s="704"/>
      <c r="T19" s="703"/>
      <c r="U19" s="704"/>
      <c r="V19" s="703"/>
      <c r="W19" s="704"/>
      <c r="X19" s="1352"/>
      <c r="Y19" s="3668"/>
      <c r="Z19" s="1353"/>
      <c r="AA19" s="1350">
        <v>1</v>
      </c>
      <c r="AB19" s="1350">
        <v>1</v>
      </c>
      <c r="AC19" s="1350">
        <v>1</v>
      </c>
    </row>
    <row r="20" spans="1:29" ht="15">
      <c r="A20" s="379"/>
      <c r="B20" s="402" t="s">
        <v>1832</v>
      </c>
      <c r="C20" s="1896" t="str">
        <f>IF(B1="工业",估价对象房地状况!G7,估价对象房地状况!C9)</f>
        <v>较好</v>
      </c>
      <c r="D20" s="406">
        <v>100</v>
      </c>
      <c r="E20" s="408" t="s">
        <v>3501</v>
      </c>
      <c r="F20" s="409">
        <f>SUMIF(67:67,E21,68:68)-SUMIF(67:67,C21,68:68)+100</f>
        <v>100</v>
      </c>
      <c r="G20" s="408" t="s">
        <v>3501</v>
      </c>
      <c r="H20" s="401">
        <f>SUMIF(67:67,G21,68:68)-SUMIF(67:67,C21,68:68)+100</f>
        <v>100</v>
      </c>
      <c r="I20" s="408" t="s">
        <v>3501</v>
      </c>
      <c r="J20" s="401">
        <f>SUMIF(67:67,I21,68:68)-SUMIF(67:67,C21,68:68)+100</f>
        <v>100</v>
      </c>
      <c r="K20" s="561">
        <v>2</v>
      </c>
      <c r="L20" s="2713"/>
      <c r="M20" s="2707"/>
      <c r="N20" s="2707"/>
      <c r="O20" s="2765"/>
      <c r="P20" s="3668"/>
      <c r="Q20" s="1349" t="str">
        <f>B20</f>
        <v>自然及人文环境</v>
      </c>
      <c r="R20" s="703" t="s">
        <v>14</v>
      </c>
      <c r="S20" s="704">
        <f>F20</f>
        <v>100</v>
      </c>
      <c r="T20" s="703" t="s">
        <v>14</v>
      </c>
      <c r="U20" s="704">
        <f>H20</f>
        <v>100</v>
      </c>
      <c r="V20" s="703" t="s">
        <v>14</v>
      </c>
      <c r="W20" s="704">
        <f>J20</f>
        <v>100</v>
      </c>
      <c r="X20" s="1352"/>
      <c r="Y20" s="3668"/>
      <c r="Z20" s="1353" t="str">
        <f>Q20</f>
        <v>自然及人文环境</v>
      </c>
      <c r="AA20" s="1350">
        <f t="shared" si="3"/>
        <v>1</v>
      </c>
      <c r="AB20" s="1350">
        <f t="shared" si="4"/>
        <v>1</v>
      </c>
      <c r="AC20" s="1350">
        <f t="shared" si="5"/>
        <v>1</v>
      </c>
    </row>
    <row r="21" spans="1:29" ht="15">
      <c r="A21" s="379"/>
      <c r="B21" s="407"/>
      <c r="C21" s="398" t="s">
        <v>3501</v>
      </c>
      <c r="D21" s="399"/>
      <c r="E21" s="398" t="s">
        <v>3501</v>
      </c>
      <c r="F21" s="400"/>
      <c r="G21" s="398" t="s">
        <v>3501</v>
      </c>
      <c r="H21" s="399"/>
      <c r="I21" s="398" t="s">
        <v>3501</v>
      </c>
      <c r="J21" s="399"/>
      <c r="K21" s="562"/>
      <c r="L21" s="2713"/>
      <c r="M21" s="2707"/>
      <c r="N21" s="2707"/>
      <c r="O21" s="2765"/>
      <c r="P21" s="3668"/>
      <c r="Q21" s="1349"/>
      <c r="R21" s="703"/>
      <c r="S21" s="704"/>
      <c r="T21" s="703"/>
      <c r="U21" s="704"/>
      <c r="V21" s="703"/>
      <c r="W21" s="704"/>
      <c r="X21" s="1352"/>
      <c r="Y21" s="3668"/>
      <c r="Z21" s="1353"/>
      <c r="AA21" s="1350">
        <v>1</v>
      </c>
      <c r="AB21" s="1350">
        <v>1</v>
      </c>
      <c r="AC21" s="1350">
        <v>1</v>
      </c>
    </row>
    <row r="22" spans="1:29" ht="15.75" thickBot="1">
      <c r="A22" s="379"/>
      <c r="B22" s="402" t="s">
        <v>1833</v>
      </c>
      <c r="C22" s="563"/>
      <c r="D22" s="401">
        <v>100</v>
      </c>
      <c r="E22" s="563"/>
      <c r="F22" s="412">
        <f>SUMIF(69:69,E22,70:70)-SUMIF(69:69,C22,70:70)+100</f>
        <v>100</v>
      </c>
      <c r="G22" s="563"/>
      <c r="H22" s="386">
        <f>SUMIF(69:69,G22,70:70)-SUMIF(69:69,C22,70:70)+100</f>
        <v>100</v>
      </c>
      <c r="I22" s="563"/>
      <c r="J22" s="386">
        <f>SUMIF(69:69,I22,70:70)-SUMIF(69:69,C22,70:70)+100</f>
        <v>100</v>
      </c>
      <c r="K22" s="559"/>
      <c r="L22" s="2713"/>
      <c r="M22" s="2707"/>
      <c r="N22" s="2707"/>
      <c r="O22" s="2765"/>
      <c r="P22" s="3668"/>
      <c r="Q22" s="1349" t="str">
        <f>B22</f>
        <v>楼层</v>
      </c>
      <c r="R22" s="703" t="s">
        <v>14</v>
      </c>
      <c r="S22" s="704">
        <f>F22</f>
        <v>100</v>
      </c>
      <c r="T22" s="703" t="s">
        <v>14</v>
      </c>
      <c r="U22" s="704">
        <f>H22</f>
        <v>100</v>
      </c>
      <c r="V22" s="703" t="s">
        <v>14</v>
      </c>
      <c r="W22" s="704">
        <f>J22</f>
        <v>100</v>
      </c>
      <c r="X22" s="1352"/>
      <c r="Y22" s="3668"/>
      <c r="Z22" s="1353" t="str">
        <f>Q22</f>
        <v>楼层</v>
      </c>
      <c r="AA22" s="1350">
        <f t="shared" si="3"/>
        <v>1</v>
      </c>
      <c r="AB22" s="1350">
        <f t="shared" si="4"/>
        <v>1</v>
      </c>
      <c r="AC22" s="1350">
        <f t="shared" si="5"/>
        <v>1</v>
      </c>
    </row>
    <row r="23" spans="1:29" ht="15" hidden="1">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0"/>
      <c r="L23" s="2713"/>
      <c r="M23" s="2707"/>
      <c r="N23" s="2707"/>
      <c r="O23" s="2765"/>
      <c r="P23" s="3668"/>
      <c r="Q23" s="1349">
        <f>B23</f>
        <v>111</v>
      </c>
      <c r="R23" s="703" t="s">
        <v>14</v>
      </c>
      <c r="S23" s="704">
        <f>F23</f>
        <v>100</v>
      </c>
      <c r="T23" s="703" t="s">
        <v>14</v>
      </c>
      <c r="U23" s="704">
        <f>H23</f>
        <v>100</v>
      </c>
      <c r="V23" s="703" t="s">
        <v>14</v>
      </c>
      <c r="W23" s="704">
        <f>J23</f>
        <v>100</v>
      </c>
      <c r="X23" s="1352"/>
      <c r="Y23" s="3668"/>
      <c r="Z23" s="1353">
        <f>Q23</f>
        <v>111</v>
      </c>
      <c r="AA23" s="1350">
        <f t="shared" si="3"/>
        <v>1</v>
      </c>
      <c r="AB23" s="1350">
        <f t="shared" si="4"/>
        <v>1</v>
      </c>
      <c r="AC23" s="1350">
        <f t="shared" si="5"/>
        <v>1</v>
      </c>
    </row>
    <row r="24" spans="1:29" ht="15" hidden="1">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0"/>
      <c r="L24" s="2713"/>
      <c r="M24" s="2707"/>
      <c r="N24" s="2707"/>
      <c r="O24" s="2765"/>
      <c r="P24" s="3668"/>
      <c r="Q24" s="1349">
        <f t="shared" ref="Q24:Q34" si="11">B24</f>
        <v>111</v>
      </c>
      <c r="R24" s="703" t="s">
        <v>14</v>
      </c>
      <c r="S24" s="704">
        <f>F24</f>
        <v>100</v>
      </c>
      <c r="T24" s="703" t="s">
        <v>14</v>
      </c>
      <c r="U24" s="704">
        <f>H24</f>
        <v>100</v>
      </c>
      <c r="V24" s="703" t="s">
        <v>14</v>
      </c>
      <c r="W24" s="704">
        <f>J24</f>
        <v>100</v>
      </c>
      <c r="X24" s="1352"/>
      <c r="Y24" s="3668"/>
      <c r="Z24" s="1353">
        <f>Q24</f>
        <v>111</v>
      </c>
      <c r="AA24" s="1350">
        <f t="shared" si="3"/>
        <v>1</v>
      </c>
      <c r="AB24" s="1350">
        <f t="shared" si="4"/>
        <v>1</v>
      </c>
      <c r="AC24" s="1350">
        <f t="shared" si="5"/>
        <v>1</v>
      </c>
    </row>
    <row r="25" spans="1:29" s="108" customFormat="1" ht="15.75" hidden="1" thickBot="1">
      <c r="A25" s="382"/>
      <c r="B25" s="1889">
        <v>111</v>
      </c>
      <c r="C25" s="1970"/>
      <c r="D25" s="611">
        <v>100</v>
      </c>
      <c r="E25" s="1970"/>
      <c r="F25" s="612">
        <f>SUMIF(75:75,E25,76:76)-SUMIF(75:75,C25,76:76)+100</f>
        <v>100</v>
      </c>
      <c r="G25" s="1970"/>
      <c r="H25" s="611">
        <f>SUMIF(75:75,G25,76:76)-SUMIF(75:75,C25,76:76)+100</f>
        <v>100</v>
      </c>
      <c r="I25" s="1970"/>
      <c r="J25" s="611">
        <f>SUMIF(75:75,I25,76:76)-SUMIF(75:75,C25,76:76)+100</f>
        <v>100</v>
      </c>
      <c r="K25" s="560"/>
      <c r="L25" s="2708"/>
      <c r="M25" s="2709"/>
      <c r="N25" s="2709"/>
      <c r="O25" s="2763"/>
      <c r="P25" s="3668"/>
      <c r="Q25" s="1340">
        <f t="shared" si="11"/>
        <v>111</v>
      </c>
      <c r="R25" s="699" t="s">
        <v>14</v>
      </c>
      <c r="S25" s="700">
        <f>F25</f>
        <v>100</v>
      </c>
      <c r="T25" s="699" t="s">
        <v>14</v>
      </c>
      <c r="U25" s="700">
        <f>H25</f>
        <v>100</v>
      </c>
      <c r="V25" s="699" t="s">
        <v>14</v>
      </c>
      <c r="W25" s="700">
        <f>J25</f>
        <v>100</v>
      </c>
      <c r="X25" s="701"/>
      <c r="Y25" s="3668"/>
      <c r="Z25" s="52">
        <f>Q25</f>
        <v>111</v>
      </c>
      <c r="AA25" s="1350">
        <f>D25/F25</f>
        <v>1</v>
      </c>
      <c r="AB25" s="1350">
        <f>D25/H25</f>
        <v>1</v>
      </c>
      <c r="AC25" s="1350">
        <f>D25/J25</f>
        <v>1</v>
      </c>
    </row>
    <row r="26" spans="1:29" ht="28.5">
      <c r="A26" s="417" t="s">
        <v>1692</v>
      </c>
      <c r="B26" s="63" t="s">
        <v>1836</v>
      </c>
      <c r="C26" s="1961" t="s">
        <v>3877</v>
      </c>
      <c r="D26" s="418">
        <v>100</v>
      </c>
      <c r="E26" s="1961" t="s">
        <v>3877</v>
      </c>
      <c r="F26" s="613">
        <f>SUMIF(77:77,E26,78:78)-SUMIF(77:77,C26,78:78)+100</f>
        <v>100</v>
      </c>
      <c r="G26" s="1961" t="s">
        <v>3877</v>
      </c>
      <c r="H26" s="418">
        <f>SUMIF(77:77,G26,78:78)-SUMIF(77:77,C26,78:78)+100</f>
        <v>100</v>
      </c>
      <c r="I26" s="1961" t="s">
        <v>3877</v>
      </c>
      <c r="J26" s="418">
        <f>SUMIF(77:77,I26,78:78)-SUMIF(77:77,C26,78:78)+100</f>
        <v>100</v>
      </c>
      <c r="K26" s="559">
        <v>2</v>
      </c>
      <c r="L26" s="2713"/>
      <c r="M26" s="2707"/>
      <c r="N26" s="2707"/>
      <c r="O26" s="2765"/>
      <c r="P26" s="3669" t="s">
        <v>1694</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70" t="s">
        <v>1694</v>
      </c>
      <c r="Z26" s="1353" t="str">
        <f t="shared" ref="Z26:Z34" si="15">Q26</f>
        <v>公共部分装修</v>
      </c>
      <c r="AA26" s="1350">
        <f t="shared" si="3"/>
        <v>1</v>
      </c>
      <c r="AB26" s="1350">
        <f t="shared" si="4"/>
        <v>1</v>
      </c>
      <c r="AC26" s="1350">
        <f t="shared" si="5"/>
        <v>1</v>
      </c>
    </row>
    <row r="27" spans="1:29" s="422" customFormat="1" ht="15">
      <c r="A27" s="419"/>
      <c r="B27" s="375" t="s">
        <v>1837</v>
      </c>
      <c r="C27" s="425">
        <v>1</v>
      </c>
      <c r="D27" s="127">
        <v>100</v>
      </c>
      <c r="E27" s="425">
        <v>1</v>
      </c>
      <c r="F27" s="412">
        <f>LOOKUP(E27,80:80,81:81)-LOOKUP(C27,80:80,81:81)+100</f>
        <v>100</v>
      </c>
      <c r="G27" s="425">
        <v>1</v>
      </c>
      <c r="H27" s="386">
        <f>LOOKUP(G27,80:80,81:81)-LOOKUP(C27,80:80,81:81)+100</f>
        <v>100</v>
      </c>
      <c r="I27" s="425">
        <v>1</v>
      </c>
      <c r="J27" s="386">
        <f>LOOKUP(I27,80:80,81:81)-LOOKUP(C27,80:80,81:81)+100</f>
        <v>100</v>
      </c>
      <c r="K27" s="559">
        <v>1</v>
      </c>
      <c r="L27" s="2712"/>
      <c r="M27" s="2714"/>
      <c r="N27" s="2714"/>
      <c r="O27" s="2766"/>
      <c r="P27" s="3670"/>
      <c r="Q27" s="705" t="str">
        <f t="shared" si="11"/>
        <v>成新率</v>
      </c>
      <c r="R27" s="706" t="s">
        <v>14</v>
      </c>
      <c r="S27" s="707">
        <f t="shared" si="12"/>
        <v>100</v>
      </c>
      <c r="T27" s="706" t="s">
        <v>14</v>
      </c>
      <c r="U27" s="707">
        <f t="shared" si="13"/>
        <v>100</v>
      </c>
      <c r="V27" s="706" t="s">
        <v>14</v>
      </c>
      <c r="W27" s="707">
        <f t="shared" si="14"/>
        <v>100</v>
      </c>
      <c r="X27" s="708"/>
      <c r="Y27" s="3670"/>
      <c r="Z27" s="709" t="str">
        <f t="shared" si="15"/>
        <v>成新率</v>
      </c>
      <c r="AA27" s="1350">
        <f t="shared" si="3"/>
        <v>1</v>
      </c>
      <c r="AB27" s="1350">
        <f t="shared" si="4"/>
        <v>1</v>
      </c>
      <c r="AC27" s="1350">
        <f t="shared" si="5"/>
        <v>1</v>
      </c>
    </row>
    <row r="28" spans="1:29" ht="15">
      <c r="A28" s="423"/>
      <c r="B28" s="375" t="s">
        <v>1838</v>
      </c>
      <c r="C28" s="411" t="s">
        <v>3878</v>
      </c>
      <c r="D28" s="386">
        <v>100</v>
      </c>
      <c r="E28" s="411" t="s">
        <v>3878</v>
      </c>
      <c r="F28" s="412">
        <f>SUMIF(82:82,E28,83:83)-SUMIF(82:82,C28,83:83)+100</f>
        <v>100</v>
      </c>
      <c r="G28" s="411" t="s">
        <v>3878</v>
      </c>
      <c r="H28" s="386">
        <f>SUMIF(82:82,G28,83:83)-SUMIF(82:82,C28,83:83)+100</f>
        <v>100</v>
      </c>
      <c r="I28" s="411" t="s">
        <v>3878</v>
      </c>
      <c r="J28" s="386">
        <f>SUMIF(82:82,I28,83:83)-SUMIF(82:82,C28,83:83)+100</f>
        <v>100</v>
      </c>
      <c r="K28" s="559">
        <v>2</v>
      </c>
      <c r="L28" s="2713"/>
      <c r="M28" s="2707"/>
      <c r="N28" s="2707"/>
      <c r="O28" s="2765"/>
      <c r="P28" s="3670"/>
      <c r="Q28" s="1349" t="str">
        <f t="shared" si="11"/>
        <v>物业等级</v>
      </c>
      <c r="R28" s="703" t="s">
        <v>14</v>
      </c>
      <c r="S28" s="704">
        <f t="shared" si="12"/>
        <v>100</v>
      </c>
      <c r="T28" s="703" t="s">
        <v>14</v>
      </c>
      <c r="U28" s="704">
        <f t="shared" si="13"/>
        <v>100</v>
      </c>
      <c r="V28" s="703" t="s">
        <v>14</v>
      </c>
      <c r="W28" s="704">
        <f t="shared" si="14"/>
        <v>100</v>
      </c>
      <c r="X28" s="1352"/>
      <c r="Y28" s="3670"/>
      <c r="Z28" s="1353" t="str">
        <f t="shared" si="15"/>
        <v>物业等级</v>
      </c>
      <c r="AA28" s="1350">
        <f t="shared" si="3"/>
        <v>1</v>
      </c>
      <c r="AB28" s="1350">
        <f t="shared" si="4"/>
        <v>1</v>
      </c>
      <c r="AC28" s="1350">
        <f t="shared" si="5"/>
        <v>1</v>
      </c>
    </row>
    <row r="29" spans="1:29" ht="15">
      <c r="A29" s="423"/>
      <c r="B29" s="375" t="s">
        <v>1858</v>
      </c>
      <c r="C29" s="603" t="s">
        <v>3887</v>
      </c>
      <c r="D29" s="386">
        <v>100</v>
      </c>
      <c r="E29" s="603" t="s">
        <v>3887</v>
      </c>
      <c r="F29" s="412">
        <f>SUMIF(84:84,E29,85:85)-SUMIF(84:84,C29,85:85)+100</f>
        <v>100</v>
      </c>
      <c r="G29" s="603" t="s">
        <v>3887</v>
      </c>
      <c r="H29" s="386">
        <f>SUMIF(84:84,G29,85:85)-SUMIF(84:84,C29,85:85)+100</f>
        <v>100</v>
      </c>
      <c r="I29" s="603" t="s">
        <v>3887</v>
      </c>
      <c r="J29" s="386">
        <f>SUMIF(84:84,I29,85:85)-SUMIF(84:84,C29,85:85)+100</f>
        <v>100</v>
      </c>
      <c r="K29" s="559">
        <v>2</v>
      </c>
      <c r="L29" s="2713"/>
      <c r="M29" s="2707"/>
      <c r="N29" s="2707"/>
      <c r="O29" s="2765"/>
      <c r="P29" s="3670"/>
      <c r="Q29" s="1349" t="str">
        <f t="shared" si="11"/>
        <v>有无电梯</v>
      </c>
      <c r="R29" s="703" t="s">
        <v>14</v>
      </c>
      <c r="S29" s="704">
        <f t="shared" si="12"/>
        <v>100</v>
      </c>
      <c r="T29" s="703" t="s">
        <v>14</v>
      </c>
      <c r="U29" s="704">
        <f t="shared" si="13"/>
        <v>100</v>
      </c>
      <c r="V29" s="703" t="s">
        <v>14</v>
      </c>
      <c r="W29" s="704">
        <f t="shared" si="14"/>
        <v>100</v>
      </c>
      <c r="X29" s="1352"/>
      <c r="Y29" s="3670"/>
      <c r="Z29" s="1353" t="str">
        <f t="shared" si="15"/>
        <v>有无电梯</v>
      </c>
      <c r="AA29" s="1350">
        <f t="shared" si="3"/>
        <v>1</v>
      </c>
      <c r="AB29" s="1350">
        <f t="shared" si="4"/>
        <v>1</v>
      </c>
      <c r="AC29" s="1350">
        <f t="shared" si="5"/>
        <v>1</v>
      </c>
    </row>
    <row r="30" spans="1:29" ht="15">
      <c r="A30" s="423"/>
      <c r="B30" s="375" t="s">
        <v>1859</v>
      </c>
      <c r="C30" s="420"/>
      <c r="D30" s="386">
        <v>100</v>
      </c>
      <c r="E30" s="420"/>
      <c r="F30" s="412">
        <f>LOOKUP(E30,87:87,88:88)-LOOKUP(C30,87:87,88:88)+100</f>
        <v>100</v>
      </c>
      <c r="G30" s="420"/>
      <c r="H30" s="386">
        <f>LOOKUP(G30,87:87,88:88)-LOOKUP(C30,87:87,88:88)+100</f>
        <v>100</v>
      </c>
      <c r="I30" s="420"/>
      <c r="J30" s="386">
        <f>LOOKUP(I30,87:87,88:88)-LOOKUP(C30,87:87,88:88)+100</f>
        <v>100</v>
      </c>
      <c r="K30" s="560"/>
      <c r="L30" s="2713"/>
      <c r="M30" s="2707"/>
      <c r="N30" s="2707"/>
      <c r="O30" s="2765"/>
      <c r="P30" s="3670"/>
      <c r="Q30" s="1349" t="str">
        <f t="shared" si="11"/>
        <v>建筑面积</v>
      </c>
      <c r="R30" s="703" t="s">
        <v>14</v>
      </c>
      <c r="S30" s="704">
        <f t="shared" si="12"/>
        <v>100</v>
      </c>
      <c r="T30" s="703" t="s">
        <v>14</v>
      </c>
      <c r="U30" s="704">
        <f t="shared" si="13"/>
        <v>100</v>
      </c>
      <c r="V30" s="703" t="s">
        <v>14</v>
      </c>
      <c r="W30" s="704">
        <f t="shared" si="14"/>
        <v>100</v>
      </c>
      <c r="X30" s="1352"/>
      <c r="Y30" s="3670"/>
      <c r="Z30" s="1353" t="str">
        <f t="shared" si="15"/>
        <v>建筑面积</v>
      </c>
      <c r="AA30" s="1350">
        <f t="shared" si="3"/>
        <v>1</v>
      </c>
      <c r="AB30" s="1350">
        <f t="shared" si="4"/>
        <v>1</v>
      </c>
      <c r="AC30" s="1350">
        <f t="shared" si="5"/>
        <v>1</v>
      </c>
    </row>
    <row r="31" spans="1:29" s="108" customFormat="1" ht="15.75" thickBot="1">
      <c r="A31" s="424"/>
      <c r="B31" s="375" t="s">
        <v>1860</v>
      </c>
      <c r="C31" s="603"/>
      <c r="D31" s="127">
        <v>100</v>
      </c>
      <c r="E31" s="603"/>
      <c r="F31" s="412">
        <f>SUMIF(89:89,E31,90:90)-SUMIF(89:89,C31,90:90)+100</f>
        <v>100</v>
      </c>
      <c r="G31" s="603"/>
      <c r="H31" s="386">
        <f>SUMIF(89:89,G31,90:90)-SUMIF(89:89,C31,90:90)+100</f>
        <v>100</v>
      </c>
      <c r="I31" s="603"/>
      <c r="J31" s="386">
        <f>SUMIF(89:89,I31,90:90)-SUMIF(89:89,C31,90:90)+100</f>
        <v>100</v>
      </c>
      <c r="K31" s="559"/>
      <c r="L31" s="2708"/>
      <c r="M31" s="2709"/>
      <c r="N31" s="2709"/>
      <c r="O31" s="2763"/>
      <c r="P31" s="3670"/>
      <c r="Q31" s="1340" t="str">
        <f t="shared" si="11"/>
        <v>是否封闭</v>
      </c>
      <c r="R31" s="699" t="s">
        <v>14</v>
      </c>
      <c r="S31" s="700">
        <f t="shared" si="12"/>
        <v>100</v>
      </c>
      <c r="T31" s="699" t="s">
        <v>14</v>
      </c>
      <c r="U31" s="700">
        <f t="shared" si="13"/>
        <v>100</v>
      </c>
      <c r="V31" s="699" t="s">
        <v>14</v>
      </c>
      <c r="W31" s="700">
        <f t="shared" si="14"/>
        <v>100</v>
      </c>
      <c r="X31" s="701"/>
      <c r="Y31" s="3670"/>
      <c r="Z31" s="52" t="str">
        <f t="shared" si="15"/>
        <v>是否封闭</v>
      </c>
      <c r="AA31" s="702">
        <f t="shared" si="3"/>
        <v>1</v>
      </c>
      <c r="AB31" s="702">
        <f t="shared" si="4"/>
        <v>1</v>
      </c>
      <c r="AC31" s="702">
        <f t="shared" si="5"/>
        <v>1</v>
      </c>
    </row>
    <row r="32" spans="1:29" ht="15" hidden="1">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0"/>
      <c r="L32" s="2713"/>
      <c r="M32" s="2707"/>
      <c r="N32" s="2707"/>
      <c r="O32" s="2765"/>
      <c r="P32" s="3670" t="s">
        <v>1694</v>
      </c>
      <c r="Q32" s="1349">
        <f t="shared" si="11"/>
        <v>111</v>
      </c>
      <c r="R32" s="703" t="s">
        <v>14</v>
      </c>
      <c r="S32" s="704">
        <f t="shared" si="12"/>
        <v>100</v>
      </c>
      <c r="T32" s="703" t="s">
        <v>14</v>
      </c>
      <c r="U32" s="704">
        <f t="shared" si="13"/>
        <v>100</v>
      </c>
      <c r="V32" s="703" t="s">
        <v>14</v>
      </c>
      <c r="W32" s="704">
        <f t="shared" si="14"/>
        <v>100</v>
      </c>
      <c r="X32" s="1352"/>
      <c r="Y32" s="3670" t="s">
        <v>1694</v>
      </c>
      <c r="Z32" s="1353">
        <f t="shared" si="15"/>
        <v>111</v>
      </c>
      <c r="AA32" s="1350">
        <f t="shared" si="3"/>
        <v>1</v>
      </c>
      <c r="AB32" s="1350">
        <f t="shared" si="4"/>
        <v>1</v>
      </c>
      <c r="AC32" s="1350">
        <f t="shared" si="5"/>
        <v>1</v>
      </c>
    </row>
    <row r="33" spans="1:30" ht="15" hidden="1">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0"/>
      <c r="L33" s="2713"/>
      <c r="M33" s="2707"/>
      <c r="N33" s="2707"/>
      <c r="O33" s="2765"/>
      <c r="P33" s="3670"/>
      <c r="Q33" s="1349">
        <f t="shared" si="11"/>
        <v>111</v>
      </c>
      <c r="R33" s="703" t="s">
        <v>14</v>
      </c>
      <c r="S33" s="704">
        <f t="shared" si="12"/>
        <v>100</v>
      </c>
      <c r="T33" s="703" t="s">
        <v>14</v>
      </c>
      <c r="U33" s="704">
        <f t="shared" si="13"/>
        <v>100</v>
      </c>
      <c r="V33" s="703" t="s">
        <v>14</v>
      </c>
      <c r="W33" s="704">
        <f t="shared" si="14"/>
        <v>100</v>
      </c>
      <c r="X33" s="1352"/>
      <c r="Y33" s="3670"/>
      <c r="Z33" s="1353">
        <f t="shared" si="15"/>
        <v>111</v>
      </c>
      <c r="AA33" s="1350">
        <f t="shared" si="3"/>
        <v>1</v>
      </c>
      <c r="AB33" s="1350">
        <f t="shared" si="4"/>
        <v>1</v>
      </c>
      <c r="AC33" s="1350">
        <f t="shared" si="5"/>
        <v>1</v>
      </c>
    </row>
    <row r="34" spans="1:30" ht="15.75" hidden="1" thickBot="1">
      <c r="A34" s="427"/>
      <c r="B34" s="1891">
        <v>111</v>
      </c>
      <c r="C34" s="388"/>
      <c r="D34" s="389">
        <v>100</v>
      </c>
      <c r="E34" s="1969"/>
      <c r="F34" s="390">
        <f>SUMIF(95:95,E34,96:96)-SUMIF(95:95,C34,96:96)+100</f>
        <v>100</v>
      </c>
      <c r="G34" s="1969"/>
      <c r="H34" s="389">
        <f>SUMIF(95:95,G34,96:96)-SUMIF(95:95,C34,96:96)+100</f>
        <v>100</v>
      </c>
      <c r="I34" s="1969"/>
      <c r="J34" s="389">
        <f>SUMIF(95:95,I34,96:96)-SUMIF(95:95,C34,96:96)+100</f>
        <v>100</v>
      </c>
      <c r="K34" s="560"/>
      <c r="L34" s="2713"/>
      <c r="M34" s="2707"/>
      <c r="N34" s="2707"/>
      <c r="O34" s="2765"/>
      <c r="P34" s="3670"/>
      <c r="Q34" s="1349">
        <f t="shared" si="11"/>
        <v>111</v>
      </c>
      <c r="R34" s="703" t="s">
        <v>14</v>
      </c>
      <c r="S34" s="704">
        <f t="shared" si="12"/>
        <v>100</v>
      </c>
      <c r="T34" s="703" t="s">
        <v>14</v>
      </c>
      <c r="U34" s="704">
        <f t="shared" si="13"/>
        <v>100</v>
      </c>
      <c r="V34" s="703" t="s">
        <v>14</v>
      </c>
      <c r="W34" s="704">
        <f t="shared" si="14"/>
        <v>100</v>
      </c>
      <c r="X34" s="1352"/>
      <c r="Y34" s="3670"/>
      <c r="Z34" s="1353">
        <f t="shared" si="15"/>
        <v>111</v>
      </c>
      <c r="AA34" s="1350">
        <f t="shared" si="3"/>
        <v>1</v>
      </c>
      <c r="AB34" s="1350">
        <f t="shared" si="4"/>
        <v>1</v>
      </c>
      <c r="AC34" s="1350">
        <f t="shared" si="5"/>
        <v>1</v>
      </c>
    </row>
    <row r="35" spans="1:30" ht="15">
      <c r="A35" s="428" t="s">
        <v>1706</v>
      </c>
      <c r="B35" s="429"/>
      <c r="C35" s="1152" t="s">
        <v>0</v>
      </c>
      <c r="D35" s="1153"/>
      <c r="E35" s="1154">
        <f>仓储售价!B2</f>
        <v>29480</v>
      </c>
      <c r="F35" s="1155"/>
      <c r="G35" s="1156">
        <f>仓储售价!B3</f>
        <v>33001</v>
      </c>
      <c r="H35" s="1157"/>
      <c r="I35" s="1154">
        <f>仓储售价!B4</f>
        <v>33000</v>
      </c>
      <c r="J35" s="1157"/>
      <c r="K35" s="712"/>
      <c r="L35" s="2715"/>
      <c r="M35" s="2716"/>
      <c r="N35" s="2707"/>
      <c r="O35" s="2716"/>
      <c r="P35" s="3666" t="str">
        <f>A35</f>
        <v>成交单价（元/平方米）</v>
      </c>
      <c r="Q35" s="3666"/>
      <c r="R35" s="3728">
        <f>E35</f>
        <v>29480</v>
      </c>
      <c r="S35" s="3728"/>
      <c r="T35" s="3728">
        <f>G35</f>
        <v>33001</v>
      </c>
      <c r="U35" s="3728"/>
      <c r="V35" s="3728">
        <f>I35</f>
        <v>33000</v>
      </c>
      <c r="W35" s="3728"/>
      <c r="X35" s="688"/>
      <c r="Y35" s="710"/>
      <c r="Z35" s="688"/>
      <c r="AA35" s="688"/>
      <c r="AB35" s="688"/>
      <c r="AC35" s="688"/>
    </row>
    <row r="36" spans="1:30" ht="15.75" thickBot="1">
      <c r="A36" s="435" t="s">
        <v>1791</v>
      </c>
      <c r="B36" s="436"/>
      <c r="C36" s="1158">
        <f>R37</f>
        <v>30757</v>
      </c>
      <c r="D36" s="2311" t="s">
        <v>3890</v>
      </c>
      <c r="E36" s="1159">
        <f>R36</f>
        <v>29480</v>
      </c>
      <c r="F36" s="2312">
        <v>0.6</v>
      </c>
      <c r="G36" s="1158">
        <f>T36</f>
        <v>32674</v>
      </c>
      <c r="H36" s="2312">
        <v>0.2</v>
      </c>
      <c r="I36" s="1159">
        <f>V36</f>
        <v>32673</v>
      </c>
      <c r="J36" s="2312">
        <v>0.2</v>
      </c>
      <c r="K36" s="2314">
        <f>F36+H36+J36</f>
        <v>1</v>
      </c>
      <c r="L36" s="2715"/>
      <c r="M36" s="2716"/>
      <c r="N36" s="2707"/>
      <c r="O36" s="2716"/>
      <c r="P36" s="3666" t="str">
        <f>A36</f>
        <v>比较价值（元/平方米）</v>
      </c>
      <c r="Q36" s="3666"/>
      <c r="R36" s="3728">
        <f>IF(F1="售价",ROUND(PRODUCT(R35,AA7:AA34),0),ROUND(PRODUCT(R35,AA7:AA34),1))</f>
        <v>29480</v>
      </c>
      <c r="S36" s="3728"/>
      <c r="T36" s="3728">
        <f>IF(F1="售价",ROUND(PRODUCT(T35,AB7:AB34),0),ROUND(PRODUCT(T35,AB7:AB34),1))</f>
        <v>32674</v>
      </c>
      <c r="U36" s="3728"/>
      <c r="V36" s="3728">
        <f>IF(F1="售价",ROUND(PRODUCT(V35,AC7:AC34),0),ROUND(PRODUCT(V35,AC7:AC34),1))</f>
        <v>32673</v>
      </c>
      <c r="W36" s="3728"/>
      <c r="X36" s="688"/>
      <c r="Y36" s="688"/>
      <c r="Z36" s="688"/>
      <c r="AA36" s="688"/>
      <c r="AB36" s="688"/>
      <c r="AC36" s="688"/>
    </row>
    <row r="37" spans="1:30" ht="15.75" thickBot="1">
      <c r="A37" s="439" t="s">
        <v>1792</v>
      </c>
      <c r="B37" s="440"/>
      <c r="C37" s="1161">
        <f>R37</f>
        <v>30757</v>
      </c>
      <c r="D37" s="1161"/>
      <c r="E37" s="1161"/>
      <c r="F37" s="1161"/>
      <c r="G37" s="1161"/>
      <c r="H37" s="1161"/>
      <c r="I37" s="1161"/>
      <c r="J37" s="1161"/>
      <c r="K37" s="713"/>
      <c r="L37" s="2715"/>
      <c r="M37" s="2716"/>
      <c r="N37" s="2716"/>
      <c r="O37" s="2716"/>
      <c r="P37" s="3660" t="str">
        <f>A37</f>
        <v>估价对象XX用房的比较价值（楼面单价，元/平方米）</v>
      </c>
      <c r="Q37" s="3661"/>
      <c r="R37" s="3751">
        <f>IF(F1="售价",ROUND(IF(D36="简单平均",AVERAGE(R36:W36),R36*F36+T36*H36+V36*J36),0),ROUND(IF(D36="简单平均",AVERAGE(R36:V36),R36*F36+T36*H36+V36*J36),1))</f>
        <v>30757</v>
      </c>
      <c r="S37" s="3751"/>
      <c r="T37" s="3751"/>
      <c r="U37" s="3751"/>
      <c r="V37" s="3751"/>
      <c r="W37" s="3751"/>
      <c r="X37" s="688"/>
      <c r="Y37" s="688"/>
      <c r="Z37" s="688"/>
      <c r="AA37" s="688"/>
      <c r="AB37" s="688"/>
      <c r="AC37" s="688"/>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4" t="s">
        <v>1793</v>
      </c>
      <c r="D40" s="445"/>
      <c r="E40" s="446">
        <f>IF(E35&lt;E36,E36/E35-1,E35/E36-1)</f>
        <v>0</v>
      </c>
      <c r="F40" s="447" t="str">
        <f>IF(OR(E40&gt;=0.3,E40&lt;=-0.3),"超过30%","")</f>
        <v/>
      </c>
      <c r="G40" s="446">
        <f>IF(G35&lt;G36,G36/G35-1,G35/G36-1)</f>
        <v>1.0007957397319078E-2</v>
      </c>
      <c r="H40" s="447" t="str">
        <f>IF(OR(G40&gt;=0.3,G40&lt;=-0.3),"超过30%","")</f>
        <v/>
      </c>
      <c r="I40" s="446">
        <f>IF(I35&lt;I36,I36/I35-1,I35/I36-1)</f>
        <v>1.0008263703975784E-2</v>
      </c>
      <c r="J40" s="447" t="str">
        <f>IF(OR(I40&gt;=0.3,I40&lt;=-0.3),"超过30%","")</f>
        <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4" t="s">
        <v>1794</v>
      </c>
      <c r="D41" s="448"/>
      <c r="E41" s="446">
        <f>IF(E36&lt;G36,G36/E36-1,E36/G36-1)</f>
        <v>0.10834464043419256</v>
      </c>
      <c r="F41" s="447" t="str">
        <f>IF(OR(E41&gt;=0.2,E41&lt;=-0.2),"超过20%","")</f>
        <v/>
      </c>
      <c r="G41" s="446">
        <f>IF(G36&lt;I36,I36/G36-1,G36/I36-1)</f>
        <v>3.0606311021363908E-5</v>
      </c>
      <c r="H41" s="447" t="str">
        <f>IF(OR(G41&gt;=0.2,G41&lt;=-0.2),"超过20%","")</f>
        <v/>
      </c>
      <c r="I41" s="446">
        <f>IF(I36&lt;E36,E36/I36-1,I36/E36-1)</f>
        <v>0.10831071913161461</v>
      </c>
      <c r="J41" s="447" t="str">
        <f>IF(OR(I41&gt;=0.2,I41&lt;=-0.2),"超过20%","")</f>
        <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49" customFormat="1" ht="13.5" customHeight="1">
      <c r="A42" s="2719"/>
      <c r="B42" s="2719"/>
      <c r="C42" s="444" t="s">
        <v>1795</v>
      </c>
      <c r="D42" s="448"/>
      <c r="E42" s="446">
        <f>IF(E35&lt;G35,G35/E35-1,E35/G35-1)</f>
        <v>0.11943690637720494</v>
      </c>
      <c r="F42" s="447" t="str">
        <f>IF(OR(E42&gt;=0.3,E42&lt;=-0.3),"超过30%","")</f>
        <v/>
      </c>
      <c r="G42" s="446">
        <f>IF(G35&lt;I35,I35/G35-1,G35/I35-1)</f>
        <v>3.0303030303047152E-5</v>
      </c>
      <c r="H42" s="447" t="str">
        <f>IF(OR(G42&gt;=0.3,G42&lt;=-0.3),"超过30%","")</f>
        <v/>
      </c>
      <c r="I42" s="446">
        <f>IF(I35&lt;E35,E35/I35-1,I35/E35-1)</f>
        <v>0.11940298507462677</v>
      </c>
      <c r="J42" s="447" t="str">
        <f>IF(OR(I42&gt;=0.3,I42&lt;=-0.3),"超过30%","")</f>
        <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49"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2" t="s">
        <v>1796</v>
      </c>
      <c r="B45" s="688"/>
      <c r="C45" s="693"/>
      <c r="D45" s="693"/>
      <c r="E45" s="693"/>
      <c r="F45" s="694"/>
      <c r="G45" s="694"/>
      <c r="H45" s="693"/>
      <c r="I45" s="693"/>
      <c r="J45" s="693"/>
      <c r="K45" s="695"/>
      <c r="L45" s="696"/>
      <c r="M45" s="693"/>
      <c r="N45" s="2760"/>
      <c r="O45" s="2760"/>
      <c r="P45" s="2760"/>
      <c r="Q45" s="2730"/>
      <c r="R45" s="2716"/>
      <c r="S45" s="2716"/>
      <c r="T45" s="2716"/>
      <c r="U45" s="2716"/>
      <c r="V45" s="2716"/>
      <c r="W45" s="2716"/>
      <c r="X45" s="2716"/>
      <c r="Y45" s="2716"/>
      <c r="Z45" s="2716"/>
      <c r="AA45" s="2716"/>
      <c r="AB45" s="2716"/>
      <c r="AC45" s="2716"/>
      <c r="AD45" s="2716"/>
    </row>
    <row r="46" spans="1:30" s="455" customFormat="1" ht="15">
      <c r="A46" s="452" t="s">
        <v>1677</v>
      </c>
      <c r="B46" s="453"/>
      <c r="C46" s="1181" t="str">
        <f>YEAR(C7)&amp;"-"&amp;MONTH(C7)</f>
        <v>2024-10</v>
      </c>
      <c r="D46" s="1182">
        <f>EDATE(C46,-1)</f>
        <v>45536</v>
      </c>
      <c r="E46" s="1182">
        <f t="shared" ref="E46:O46" si="16">EDATE(D46,-1)</f>
        <v>45505</v>
      </c>
      <c r="F46" s="1182">
        <f t="shared" si="16"/>
        <v>45474</v>
      </c>
      <c r="G46" s="1182">
        <f t="shared" si="16"/>
        <v>45444</v>
      </c>
      <c r="H46" s="1182">
        <f t="shared" si="16"/>
        <v>45413</v>
      </c>
      <c r="I46" s="1182">
        <f t="shared" si="16"/>
        <v>45383</v>
      </c>
      <c r="J46" s="1182">
        <f t="shared" si="16"/>
        <v>45352</v>
      </c>
      <c r="K46" s="1182">
        <f t="shared" si="16"/>
        <v>45323</v>
      </c>
      <c r="L46" s="1182">
        <f t="shared" si="16"/>
        <v>45292</v>
      </c>
      <c r="M46" s="1182">
        <f t="shared" si="16"/>
        <v>45261</v>
      </c>
      <c r="N46" s="1182">
        <f t="shared" si="16"/>
        <v>45231</v>
      </c>
      <c r="O46" s="1182">
        <f t="shared" si="16"/>
        <v>45200</v>
      </c>
      <c r="P46" s="2767"/>
      <c r="Q46" s="2732"/>
      <c r="R46" s="2732"/>
      <c r="S46" s="2732"/>
      <c r="T46" s="2732"/>
      <c r="U46" s="2732"/>
      <c r="V46" s="2732"/>
      <c r="W46" s="2732"/>
      <c r="X46" s="2732"/>
      <c r="Y46" s="2732"/>
      <c r="Z46" s="2732"/>
      <c r="AA46" s="2732"/>
      <c r="AB46" s="2732"/>
      <c r="AC46" s="2732"/>
      <c r="AD46" s="2732"/>
    </row>
    <row r="47" spans="1:30" s="108" customFormat="1" ht="15">
      <c r="A47" s="456"/>
      <c r="B47" s="457"/>
      <c r="C47" s="1180">
        <v>100</v>
      </c>
      <c r="D47" s="459"/>
      <c r="E47" s="459"/>
      <c r="F47" s="459"/>
      <c r="G47" s="459"/>
      <c r="H47" s="459"/>
      <c r="I47" s="459"/>
      <c r="J47" s="459"/>
      <c r="K47" s="459"/>
      <c r="L47" s="459"/>
      <c r="M47" s="460"/>
      <c r="N47" s="459"/>
      <c r="O47" s="461"/>
      <c r="P47" s="2730"/>
      <c r="Q47" s="2652"/>
      <c r="R47" s="2652"/>
      <c r="S47" s="2652"/>
      <c r="T47" s="2652"/>
      <c r="U47" s="2652"/>
      <c r="V47" s="2652"/>
      <c r="W47" s="2652"/>
      <c r="X47" s="2652"/>
      <c r="Y47" s="2652"/>
      <c r="Z47" s="2652"/>
      <c r="AA47" s="2652"/>
      <c r="AB47" s="2652"/>
      <c r="AC47" s="2652"/>
      <c r="AD47" s="2652"/>
    </row>
    <row r="48" spans="1:30" s="108" customFormat="1" ht="15.75" thickBot="1">
      <c r="A48" s="462" t="s">
        <v>1714</v>
      </c>
      <c r="B48" s="463"/>
      <c r="C48" s="464"/>
      <c r="D48" s="465"/>
      <c r="E48" s="465"/>
      <c r="F48" s="465"/>
      <c r="G48" s="465"/>
      <c r="H48" s="465"/>
      <c r="I48" s="465"/>
      <c r="J48" s="465"/>
      <c r="K48" s="465"/>
      <c r="L48" s="465"/>
      <c r="M48" s="466"/>
      <c r="N48" s="465"/>
      <c r="O48" s="467"/>
      <c r="P48" s="2730"/>
      <c r="Q48" s="2730"/>
      <c r="R48" s="2652"/>
      <c r="S48" s="2652"/>
      <c r="T48" s="2652"/>
      <c r="U48" s="2652"/>
      <c r="V48" s="2652"/>
      <c r="W48" s="2652"/>
      <c r="X48" s="2652"/>
      <c r="Y48" s="2652"/>
      <c r="Z48" s="2652"/>
      <c r="AA48" s="2652"/>
      <c r="AB48" s="2652"/>
      <c r="AC48" s="2652"/>
      <c r="AD48" s="2652"/>
    </row>
    <row r="49" spans="1:30" s="108" customFormat="1" ht="15">
      <c r="A49" s="468" t="s">
        <v>1679</v>
      </c>
      <c r="B49" s="457"/>
      <c r="C49" s="469" t="s">
        <v>1774</v>
      </c>
      <c r="D49" s="470"/>
      <c r="E49" s="470"/>
      <c r="F49" s="470"/>
      <c r="G49" s="470"/>
      <c r="H49" s="470"/>
      <c r="I49" s="470"/>
      <c r="J49" s="470"/>
      <c r="K49" s="470"/>
      <c r="L49" s="471"/>
      <c r="M49" s="472"/>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68"/>
      <c r="B50" s="457"/>
      <c r="C50" s="585">
        <v>100</v>
      </c>
      <c r="D50" s="459"/>
      <c r="E50" s="459"/>
      <c r="F50" s="459"/>
      <c r="G50" s="459"/>
      <c r="H50" s="459"/>
      <c r="I50" s="459"/>
      <c r="J50" s="459"/>
      <c r="K50" s="459"/>
      <c r="L50" s="459"/>
      <c r="M50" s="461"/>
      <c r="N50" s="2743"/>
      <c r="O50" s="2743"/>
      <c r="P50" s="2730"/>
      <c r="Q50" s="2730"/>
      <c r="R50" s="2652"/>
      <c r="S50" s="2652"/>
      <c r="T50" s="2652"/>
      <c r="U50" s="2652"/>
      <c r="V50" s="2652"/>
      <c r="W50" s="2652"/>
      <c r="X50" s="2652"/>
      <c r="Y50" s="2652"/>
      <c r="Z50" s="2652"/>
      <c r="AA50" s="2652"/>
      <c r="AB50" s="2652"/>
      <c r="AC50" s="2652"/>
      <c r="AD50" s="2652"/>
    </row>
    <row r="51" spans="1:30">
      <c r="A51" s="474" t="s">
        <v>1717</v>
      </c>
      <c r="B51" s="475" t="s">
        <v>1683</v>
      </c>
      <c r="C51" s="476" t="str">
        <f>C9</f>
        <v>仓储</v>
      </c>
      <c r="D51" s="477"/>
      <c r="E51" s="477"/>
      <c r="F51" s="477"/>
      <c r="G51" s="477"/>
      <c r="H51" s="477"/>
      <c r="I51" s="477"/>
      <c r="J51" s="477"/>
      <c r="K51" s="478"/>
      <c r="L51" s="479"/>
      <c r="M51" s="480"/>
      <c r="N51" s="2744"/>
      <c r="O51" s="2744"/>
      <c r="P51" s="2769"/>
      <c r="Q51" s="2730"/>
      <c r="R51" s="2716"/>
      <c r="S51" s="2716"/>
      <c r="T51" s="2716"/>
      <c r="U51" s="2716"/>
      <c r="V51" s="2716"/>
      <c r="W51" s="2716"/>
      <c r="X51" s="2716"/>
      <c r="Y51" s="2716"/>
      <c r="Z51" s="2716"/>
      <c r="AA51" s="2716"/>
      <c r="AB51" s="2716"/>
      <c r="AC51" s="2716"/>
      <c r="AD51" s="2716"/>
    </row>
    <row r="52" spans="1:30" ht="15.75" thickBot="1">
      <c r="A52" s="481"/>
      <c r="B52" s="482"/>
      <c r="C52" s="483">
        <v>100</v>
      </c>
      <c r="D52" s="483"/>
      <c r="E52" s="483"/>
      <c r="F52" s="483"/>
      <c r="G52" s="483"/>
      <c r="H52" s="483"/>
      <c r="I52" s="483"/>
      <c r="J52" s="483"/>
      <c r="K52" s="483"/>
      <c r="L52" s="483"/>
      <c r="M52" s="484"/>
      <c r="N52" s="2745"/>
      <c r="O52" s="2745"/>
      <c r="P52" s="2769"/>
      <c r="Q52" s="2730"/>
      <c r="R52" s="2716"/>
      <c r="S52" s="2716"/>
      <c r="T52" s="2716"/>
      <c r="U52" s="2716"/>
      <c r="V52" s="2716"/>
      <c r="W52" s="2716"/>
      <c r="X52" s="2716"/>
      <c r="Y52" s="2716"/>
      <c r="Z52" s="2716"/>
      <c r="AA52" s="2716"/>
      <c r="AB52" s="2716"/>
      <c r="AC52" s="2716"/>
      <c r="AD52" s="2716"/>
    </row>
    <row r="53" spans="1:30" ht="27.75" thickTop="1">
      <c r="A53" s="481"/>
      <c r="B53" s="485" t="s">
        <v>1686</v>
      </c>
      <c r="C53" s="530"/>
      <c r="D53" s="530"/>
      <c r="E53" s="530"/>
      <c r="F53" s="530"/>
      <c r="G53" s="530"/>
      <c r="H53" s="530"/>
      <c r="I53" s="530"/>
      <c r="J53" s="530"/>
      <c r="K53" s="531"/>
      <c r="L53" s="532"/>
      <c r="M53" s="533"/>
      <c r="N53" s="2744"/>
      <c r="O53" s="2744"/>
      <c r="P53" s="2769"/>
      <c r="Q53" s="2730"/>
      <c r="R53" s="2716"/>
      <c r="S53" s="2716"/>
      <c r="T53" s="2716"/>
      <c r="U53" s="2716"/>
      <c r="V53" s="2716"/>
      <c r="W53" s="2716"/>
      <c r="X53" s="2716"/>
      <c r="Y53" s="2716"/>
      <c r="Z53" s="2716"/>
      <c r="AA53" s="2716"/>
      <c r="AB53" s="2716"/>
      <c r="AC53" s="2716"/>
      <c r="AD53" s="2716"/>
    </row>
    <row r="54" spans="1:30" ht="15.75" thickBot="1">
      <c r="A54" s="481"/>
      <c r="B54" s="490"/>
      <c r="C54" s="483"/>
      <c r="D54" s="483"/>
      <c r="E54" s="483"/>
      <c r="F54" s="483"/>
      <c r="G54" s="483"/>
      <c r="H54" s="483"/>
      <c r="I54" s="483"/>
      <c r="J54" s="483"/>
      <c r="K54" s="483"/>
      <c r="L54" s="483"/>
      <c r="M54" s="484"/>
      <c r="N54" s="2745"/>
      <c r="O54" s="2745"/>
      <c r="P54" s="2769"/>
      <c r="Q54" s="2730"/>
      <c r="R54" s="2716"/>
      <c r="S54" s="2716"/>
      <c r="T54" s="2716"/>
      <c r="U54" s="2716"/>
      <c r="V54" s="2716"/>
      <c r="W54" s="2716"/>
      <c r="X54" s="2716"/>
      <c r="Y54" s="2716"/>
      <c r="Z54" s="2716"/>
      <c r="AA54" s="2716"/>
      <c r="AB54" s="2716"/>
      <c r="AC54" s="2716"/>
      <c r="AD54" s="2716"/>
    </row>
    <row r="55" spans="1:30" ht="15.75" thickTop="1">
      <c r="A55" s="481"/>
      <c r="B55" s="606">
        <f>B11</f>
        <v>111</v>
      </c>
      <c r="C55" s="496"/>
      <c r="D55" s="496"/>
      <c r="E55" s="496"/>
      <c r="F55" s="496"/>
      <c r="G55" s="496"/>
      <c r="H55" s="496"/>
      <c r="I55" s="496"/>
      <c r="J55" s="496"/>
      <c r="K55" s="497"/>
      <c r="L55" s="498"/>
      <c r="M55" s="499"/>
      <c r="N55" s="2744"/>
      <c r="O55" s="2744"/>
      <c r="P55" s="2769"/>
      <c r="Q55" s="2730"/>
      <c r="R55" s="2716"/>
      <c r="S55" s="2716"/>
      <c r="T55" s="2716"/>
      <c r="U55" s="2716"/>
      <c r="V55" s="2716"/>
      <c r="W55" s="2716"/>
      <c r="X55" s="2716"/>
      <c r="Y55" s="2716"/>
      <c r="Z55" s="2716"/>
      <c r="AA55" s="2716"/>
      <c r="AB55" s="2716"/>
      <c r="AC55" s="2716"/>
      <c r="AD55" s="2716"/>
    </row>
    <row r="56" spans="1:30" ht="15.75" thickBot="1">
      <c r="A56" s="481"/>
      <c r="B56" s="482"/>
      <c r="C56" s="507"/>
      <c r="D56" s="483"/>
      <c r="E56" s="483"/>
      <c r="F56" s="483"/>
      <c r="G56" s="483"/>
      <c r="H56" s="483"/>
      <c r="I56" s="483"/>
      <c r="J56" s="483"/>
      <c r="K56" s="483"/>
      <c r="L56" s="483"/>
      <c r="M56" s="484"/>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0"/>
      <c r="B57" s="485">
        <f>B12</f>
        <v>111</v>
      </c>
      <c r="C57" s="496"/>
      <c r="D57" s="496"/>
      <c r="E57" s="496"/>
      <c r="F57" s="496"/>
      <c r="G57" s="501"/>
      <c r="H57" s="502"/>
      <c r="I57" s="502"/>
      <c r="J57" s="502"/>
      <c r="K57" s="502"/>
      <c r="L57" s="503"/>
      <c r="M57" s="504"/>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0"/>
      <c r="B58" s="490"/>
      <c r="C58" s="507"/>
      <c r="D58" s="483"/>
      <c r="E58" s="483"/>
      <c r="F58" s="483"/>
      <c r="G58" s="483"/>
      <c r="H58" s="483"/>
      <c r="I58" s="483"/>
      <c r="J58" s="483"/>
      <c r="K58" s="483"/>
      <c r="L58" s="483"/>
      <c r="M58" s="484"/>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0"/>
      <c r="B59" s="485">
        <f>B13</f>
        <v>111</v>
      </c>
      <c r="C59" s="496"/>
      <c r="D59" s="496"/>
      <c r="E59" s="496"/>
      <c r="F59" s="496"/>
      <c r="G59" s="501"/>
      <c r="H59" s="502"/>
      <c r="I59" s="502"/>
      <c r="J59" s="502"/>
      <c r="K59" s="502"/>
      <c r="L59" s="503"/>
      <c r="M59" s="504"/>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0"/>
      <c r="B60" s="490"/>
      <c r="C60" s="507"/>
      <c r="D60" s="507"/>
      <c r="E60" s="507"/>
      <c r="F60" s="507"/>
      <c r="G60" s="507"/>
      <c r="H60" s="509"/>
      <c r="I60" s="509"/>
      <c r="J60" s="509"/>
      <c r="K60" s="509"/>
      <c r="L60" s="509"/>
      <c r="M60" s="510"/>
      <c r="N60" s="2746"/>
      <c r="O60" s="2746"/>
      <c r="P60" s="2770"/>
      <c r="Q60" s="2737"/>
      <c r="R60" s="2738"/>
      <c r="S60" s="2738"/>
      <c r="T60" s="2738"/>
      <c r="U60" s="2738"/>
      <c r="V60" s="2738"/>
      <c r="W60" s="2738"/>
      <c r="X60" s="2738"/>
      <c r="Y60" s="2738"/>
      <c r="Z60" s="2738"/>
      <c r="AA60" s="2738"/>
      <c r="AB60" s="2738"/>
      <c r="AC60" s="2738"/>
      <c r="AD60" s="2738"/>
    </row>
    <row r="61" spans="1:30" ht="15" thickTop="1">
      <c r="A61" s="474" t="s">
        <v>1688</v>
      </c>
      <c r="B61" s="475" t="s">
        <v>1724</v>
      </c>
      <c r="C61" s="520" t="s">
        <v>1719</v>
      </c>
      <c r="D61" s="520" t="s">
        <v>1720</v>
      </c>
      <c r="E61" s="520" t="s">
        <v>1721</v>
      </c>
      <c r="F61" s="520" t="s">
        <v>1722</v>
      </c>
      <c r="G61" s="520" t="s">
        <v>1723</v>
      </c>
      <c r="H61" s="476"/>
      <c r="I61" s="476"/>
      <c r="J61" s="476"/>
      <c r="K61" s="521"/>
      <c r="L61" s="522"/>
      <c r="M61" s="523"/>
      <c r="N61" s="2744"/>
      <c r="O61" s="2744"/>
      <c r="P61" s="2771"/>
      <c r="Q61" s="2730"/>
      <c r="R61" s="2716"/>
      <c r="S61" s="2716"/>
      <c r="T61" s="2716"/>
      <c r="U61" s="2716"/>
      <c r="V61" s="2716"/>
      <c r="W61" s="2716"/>
      <c r="X61" s="2716"/>
      <c r="Y61" s="2716"/>
      <c r="Z61" s="2716"/>
      <c r="AA61" s="2716"/>
      <c r="AB61" s="2716"/>
      <c r="AC61" s="2716"/>
      <c r="AD61" s="2716"/>
    </row>
    <row r="62" spans="1:30" ht="15.75" thickBot="1">
      <c r="A62" s="481"/>
      <c r="B62" s="490"/>
      <c r="C62" s="491">
        <v>100</v>
      </c>
      <c r="D62" s="491">
        <f>C62-$K14</f>
        <v>98</v>
      </c>
      <c r="E62" s="491">
        <f>D62-$K14</f>
        <v>96</v>
      </c>
      <c r="F62" s="491">
        <f>E62-$K14</f>
        <v>94</v>
      </c>
      <c r="G62" s="491">
        <f>F62-$K14</f>
        <v>92</v>
      </c>
      <c r="H62" s="491"/>
      <c r="I62" s="491"/>
      <c r="J62" s="491"/>
      <c r="K62" s="491"/>
      <c r="L62" s="491"/>
      <c r="M62" s="492"/>
      <c r="N62" s="2745"/>
      <c r="O62" s="2745"/>
      <c r="P62" s="2769"/>
      <c r="Q62" s="2730"/>
      <c r="R62" s="2716"/>
      <c r="S62" s="2716"/>
      <c r="T62" s="2716"/>
      <c r="U62" s="2716"/>
      <c r="V62" s="2716"/>
      <c r="W62" s="2716"/>
      <c r="X62" s="2716"/>
      <c r="Y62" s="2716"/>
      <c r="Z62" s="2716"/>
      <c r="AA62" s="2716"/>
      <c r="AB62" s="2716"/>
      <c r="AC62" s="2716"/>
      <c r="AD62" s="2716"/>
    </row>
    <row r="63" spans="1:30" ht="27.75" thickTop="1">
      <c r="A63" s="481"/>
      <c r="B63" s="485" t="s">
        <v>1861</v>
      </c>
      <c r="C63" s="525" t="s">
        <v>1719</v>
      </c>
      <c r="D63" s="525" t="s">
        <v>1720</v>
      </c>
      <c r="E63" s="525" t="s">
        <v>1721</v>
      </c>
      <c r="F63" s="525" t="s">
        <v>1722</v>
      </c>
      <c r="G63" s="525" t="s">
        <v>1723</v>
      </c>
      <c r="H63" s="486"/>
      <c r="I63" s="486"/>
      <c r="J63" s="486"/>
      <c r="K63" s="487"/>
      <c r="L63" s="488"/>
      <c r="M63" s="489"/>
      <c r="N63" s="2744"/>
      <c r="O63" s="2744"/>
      <c r="P63" s="2769"/>
      <c r="Q63" s="2730"/>
      <c r="R63" s="2716"/>
      <c r="S63" s="2716"/>
      <c r="T63" s="2716"/>
      <c r="U63" s="2716"/>
      <c r="V63" s="2716"/>
      <c r="W63" s="2716"/>
      <c r="X63" s="2716"/>
      <c r="Y63" s="2716"/>
      <c r="Z63" s="2716"/>
      <c r="AA63" s="2716"/>
      <c r="AB63" s="2716"/>
      <c r="AC63" s="2716"/>
      <c r="AD63" s="2716"/>
    </row>
    <row r="64" spans="1:30" ht="15.75" thickBot="1">
      <c r="A64" s="481"/>
      <c r="B64" s="490"/>
      <c r="C64" s="491">
        <v>100</v>
      </c>
      <c r="D64" s="491">
        <f>C64-$K16</f>
        <v>98</v>
      </c>
      <c r="E64" s="491">
        <f>D64-$K16</f>
        <v>96</v>
      </c>
      <c r="F64" s="491">
        <f>E64-$K16</f>
        <v>94</v>
      </c>
      <c r="G64" s="491">
        <f>F64-$K16</f>
        <v>92</v>
      </c>
      <c r="H64" s="491"/>
      <c r="I64" s="491"/>
      <c r="J64" s="491"/>
      <c r="K64" s="491"/>
      <c r="L64" s="491"/>
      <c r="M64" s="492"/>
      <c r="N64" s="2745"/>
      <c r="O64" s="2745"/>
      <c r="P64" s="2769"/>
      <c r="Q64" s="2730"/>
      <c r="R64" s="2716"/>
      <c r="S64" s="2716"/>
      <c r="T64" s="2716"/>
      <c r="U64" s="2716"/>
      <c r="V64" s="2716"/>
      <c r="W64" s="2716"/>
      <c r="X64" s="2716"/>
      <c r="Y64" s="2716"/>
      <c r="Z64" s="2716"/>
      <c r="AA64" s="2716"/>
      <c r="AB64" s="2716"/>
      <c r="AC64" s="2716"/>
      <c r="AD64" s="2716"/>
    </row>
    <row r="65" spans="1:30" ht="15.75" thickTop="1">
      <c r="A65" s="481"/>
      <c r="B65" s="493" t="s">
        <v>1811</v>
      </c>
      <c r="C65" s="606" t="s">
        <v>1797</v>
      </c>
      <c r="D65" s="606" t="s">
        <v>1798</v>
      </c>
      <c r="E65" s="606" t="s">
        <v>1799</v>
      </c>
      <c r="F65" s="606" t="s">
        <v>1800</v>
      </c>
      <c r="G65" s="606" t="s">
        <v>1801</v>
      </c>
      <c r="H65" s="486"/>
      <c r="I65" s="486"/>
      <c r="J65" s="486"/>
      <c r="K65" s="486"/>
      <c r="L65" s="486"/>
      <c r="M65" s="1127"/>
      <c r="N65" s="2745"/>
      <c r="O65" s="2745"/>
      <c r="P65" s="2769"/>
      <c r="Q65" s="2730"/>
      <c r="R65" s="2716"/>
      <c r="S65" s="2716"/>
      <c r="T65" s="2716"/>
      <c r="U65" s="2716"/>
      <c r="V65" s="2716"/>
      <c r="W65" s="2716"/>
      <c r="X65" s="2716"/>
      <c r="Y65" s="2716"/>
      <c r="Z65" s="2716"/>
      <c r="AA65" s="2716"/>
      <c r="AB65" s="2716"/>
      <c r="AC65" s="2716"/>
      <c r="AD65" s="2716"/>
    </row>
    <row r="66" spans="1:30" ht="15.75" thickBot="1">
      <c r="A66" s="481"/>
      <c r="B66" s="493"/>
      <c r="C66" s="491">
        <v>100</v>
      </c>
      <c r="D66" s="491">
        <f>C66-$K18</f>
        <v>99</v>
      </c>
      <c r="E66" s="491">
        <f>D66-$K18</f>
        <v>98</v>
      </c>
      <c r="F66" s="491">
        <f>E66-$K18</f>
        <v>97</v>
      </c>
      <c r="G66" s="491">
        <f>F66-$K18</f>
        <v>96</v>
      </c>
      <c r="H66" s="606"/>
      <c r="I66" s="606"/>
      <c r="J66" s="606"/>
      <c r="K66" s="606"/>
      <c r="L66" s="606"/>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1"/>
      <c r="B67" s="485" t="s">
        <v>1731</v>
      </c>
      <c r="C67" s="525" t="s">
        <v>1719</v>
      </c>
      <c r="D67" s="525" t="s">
        <v>1720</v>
      </c>
      <c r="E67" s="525" t="s">
        <v>1721</v>
      </c>
      <c r="F67" s="525" t="s">
        <v>1722</v>
      </c>
      <c r="G67" s="525" t="s">
        <v>1723</v>
      </c>
      <c r="H67" s="486"/>
      <c r="I67" s="486"/>
      <c r="J67" s="486"/>
      <c r="K67" s="487"/>
      <c r="L67" s="488"/>
      <c r="M67" s="489"/>
      <c r="N67" s="2744"/>
      <c r="O67" s="2744"/>
      <c r="P67" s="2769"/>
      <c r="Q67" s="2730"/>
      <c r="R67" s="2716"/>
      <c r="S67" s="2716"/>
      <c r="T67" s="2716"/>
      <c r="U67" s="2716"/>
      <c r="V67" s="2716"/>
      <c r="W67" s="2716"/>
      <c r="X67" s="2716"/>
      <c r="Y67" s="2716"/>
      <c r="Z67" s="2716"/>
      <c r="AA67" s="2716"/>
      <c r="AB67" s="2716"/>
      <c r="AC67" s="2716"/>
      <c r="AD67" s="2716"/>
    </row>
    <row r="68" spans="1:30" ht="15.75" thickBot="1">
      <c r="A68" s="481"/>
      <c r="B68" s="490"/>
      <c r="C68" s="491">
        <v>100</v>
      </c>
      <c r="D68" s="491">
        <f>C68-$K20</f>
        <v>98</v>
      </c>
      <c r="E68" s="491">
        <f>D68-$K20</f>
        <v>96</v>
      </c>
      <c r="F68" s="491">
        <f>E68-$K20</f>
        <v>94</v>
      </c>
      <c r="G68" s="491">
        <f>F68-$K20</f>
        <v>92</v>
      </c>
      <c r="H68" s="491"/>
      <c r="I68" s="491"/>
      <c r="J68" s="491"/>
      <c r="K68" s="491"/>
      <c r="L68" s="491"/>
      <c r="M68" s="492"/>
      <c r="N68" s="2745"/>
      <c r="O68" s="2745"/>
      <c r="P68" s="2769"/>
      <c r="Q68" s="2730"/>
      <c r="R68" s="2716"/>
      <c r="S68" s="2716"/>
      <c r="T68" s="2716"/>
      <c r="U68" s="2716"/>
      <c r="V68" s="2716"/>
      <c r="W68" s="2716"/>
      <c r="X68" s="2716"/>
      <c r="Y68" s="2716"/>
      <c r="Z68" s="2716"/>
      <c r="AA68" s="2716"/>
      <c r="AB68" s="2716"/>
      <c r="AC68" s="2716"/>
      <c r="AD68" s="2716"/>
    </row>
    <row r="69" spans="1:30" ht="15.75" thickTop="1">
      <c r="A69" s="481"/>
      <c r="B69" s="485" t="s">
        <v>1850</v>
      </c>
      <c r="C69" s="501"/>
      <c r="D69" s="501"/>
      <c r="E69" s="501"/>
      <c r="F69" s="501"/>
      <c r="G69" s="501"/>
      <c r="H69" s="530"/>
      <c r="I69" s="530"/>
      <c r="J69" s="530"/>
      <c r="K69" s="531"/>
      <c r="L69" s="532"/>
      <c r="M69" s="533"/>
      <c r="N69" s="2744"/>
      <c r="O69" s="2744"/>
      <c r="P69" s="2769"/>
      <c r="Q69" s="2730"/>
      <c r="R69" s="2716"/>
      <c r="S69" s="2716"/>
      <c r="T69" s="2716"/>
      <c r="U69" s="2716"/>
      <c r="V69" s="2716"/>
      <c r="W69" s="2716"/>
      <c r="X69" s="2716"/>
      <c r="Y69" s="2716"/>
      <c r="Z69" s="2716"/>
      <c r="AA69" s="2716"/>
      <c r="AB69" s="2716"/>
      <c r="AC69" s="2716"/>
      <c r="AD69" s="2716"/>
    </row>
    <row r="70" spans="1:30" ht="15.75" thickBot="1">
      <c r="A70" s="481"/>
      <c r="B70" s="490"/>
      <c r="C70" s="491">
        <v>100</v>
      </c>
      <c r="D70" s="491">
        <f>C70-$K22</f>
        <v>100</v>
      </c>
      <c r="E70" s="491"/>
      <c r="F70" s="491"/>
      <c r="G70" s="491"/>
      <c r="H70" s="491"/>
      <c r="I70" s="491"/>
      <c r="J70" s="491"/>
      <c r="K70" s="491"/>
      <c r="L70" s="491"/>
      <c r="M70" s="492"/>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6"/>
      <c r="B71" s="485">
        <f>B23</f>
        <v>111</v>
      </c>
      <c r="C71" s="496"/>
      <c r="D71" s="496"/>
      <c r="E71" s="496"/>
      <c r="F71" s="496"/>
      <c r="G71" s="501"/>
      <c r="H71" s="501"/>
      <c r="I71" s="501"/>
      <c r="J71" s="501"/>
      <c r="K71" s="501"/>
      <c r="L71" s="527"/>
      <c r="M71" s="528"/>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6"/>
      <c r="B72" s="490"/>
      <c r="C72" s="507"/>
      <c r="D72" s="483"/>
      <c r="E72" s="483"/>
      <c r="F72" s="483"/>
      <c r="G72" s="483"/>
      <c r="H72" s="483"/>
      <c r="I72" s="483"/>
      <c r="J72" s="483"/>
      <c r="K72" s="483"/>
      <c r="L72" s="483"/>
      <c r="M72" s="484"/>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6"/>
      <c r="B73" s="485">
        <f>B24</f>
        <v>111</v>
      </c>
      <c r="C73" s="496"/>
      <c r="D73" s="496"/>
      <c r="E73" s="496"/>
      <c r="F73" s="496"/>
      <c r="G73" s="501"/>
      <c r="H73" s="501"/>
      <c r="I73" s="501"/>
      <c r="J73" s="501"/>
      <c r="K73" s="501"/>
      <c r="L73" s="501"/>
      <c r="M73" s="528"/>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6"/>
      <c r="B74" s="490"/>
      <c r="C74" s="507"/>
      <c r="D74" s="483"/>
      <c r="E74" s="483"/>
      <c r="F74" s="483"/>
      <c r="G74" s="483"/>
      <c r="H74" s="483"/>
      <c r="I74" s="483"/>
      <c r="J74" s="483"/>
      <c r="K74" s="483"/>
      <c r="L74" s="483"/>
      <c r="M74" s="484"/>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0"/>
      <c r="B75" s="485">
        <f>B25</f>
        <v>111</v>
      </c>
      <c r="C75" s="496"/>
      <c r="D75" s="496"/>
      <c r="E75" s="496"/>
      <c r="F75" s="496"/>
      <c r="G75" s="501"/>
      <c r="H75" s="502"/>
      <c r="I75" s="502"/>
      <c r="J75" s="502"/>
      <c r="K75" s="502"/>
      <c r="L75" s="503"/>
      <c r="M75" s="504"/>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0"/>
      <c r="B76" s="490"/>
      <c r="C76" s="507"/>
      <c r="D76" s="507"/>
      <c r="E76" s="507"/>
      <c r="F76" s="507"/>
      <c r="G76" s="483"/>
      <c r="H76" s="483"/>
      <c r="I76" s="483"/>
      <c r="J76" s="483"/>
      <c r="K76" s="483"/>
      <c r="L76" s="483"/>
      <c r="M76" s="484"/>
      <c r="N76" s="2746"/>
      <c r="O76" s="2746"/>
      <c r="P76" s="2770"/>
      <c r="Q76" s="2737"/>
      <c r="R76" s="2738"/>
      <c r="S76" s="2738"/>
      <c r="T76" s="2738"/>
      <c r="U76" s="2738"/>
      <c r="V76" s="2738"/>
      <c r="W76" s="2738"/>
      <c r="X76" s="2738"/>
      <c r="Y76" s="2738"/>
      <c r="Z76" s="2738"/>
      <c r="AA76" s="2738"/>
      <c r="AB76" s="2738"/>
      <c r="AC76" s="2738"/>
      <c r="AD76" s="2738"/>
    </row>
    <row r="77" spans="1:30" ht="15" thickTop="1">
      <c r="A77" s="474" t="s">
        <v>1692</v>
      </c>
      <c r="B77" s="475" t="s">
        <v>1738</v>
      </c>
      <c r="C77" s="3467" t="s">
        <v>3885</v>
      </c>
      <c r="D77" s="501"/>
      <c r="E77" s="477"/>
      <c r="F77" s="477"/>
      <c r="G77" s="477"/>
      <c r="H77" s="477"/>
      <c r="I77" s="477"/>
      <c r="J77" s="477"/>
      <c r="K77" s="478"/>
      <c r="L77" s="479"/>
      <c r="M77" s="480"/>
      <c r="N77" s="2744"/>
      <c r="O77" s="2744"/>
      <c r="P77" s="2769"/>
      <c r="Q77" s="2730"/>
      <c r="R77" s="2716"/>
      <c r="S77" s="2716"/>
      <c r="T77" s="2716"/>
      <c r="U77" s="2716"/>
      <c r="V77" s="2716"/>
      <c r="W77" s="2716"/>
      <c r="X77" s="2716"/>
      <c r="Y77" s="2716"/>
      <c r="Z77" s="2716"/>
      <c r="AA77" s="2716"/>
      <c r="AB77" s="2716"/>
      <c r="AC77" s="2716"/>
      <c r="AD77" s="2716"/>
    </row>
    <row r="78" spans="1:30" ht="15.75" thickBot="1">
      <c r="A78" s="481"/>
      <c r="B78" s="490"/>
      <c r="C78" s="491">
        <v>100</v>
      </c>
      <c r="D78" s="491">
        <f t="shared" ref="D78:M78" si="17">C78-$K26</f>
        <v>98</v>
      </c>
      <c r="E78" s="491">
        <f t="shared" si="17"/>
        <v>96</v>
      </c>
      <c r="F78" s="491">
        <f t="shared" si="17"/>
        <v>94</v>
      </c>
      <c r="G78" s="491">
        <f t="shared" si="17"/>
        <v>92</v>
      </c>
      <c r="H78" s="491">
        <f t="shared" si="17"/>
        <v>90</v>
      </c>
      <c r="I78" s="491">
        <f t="shared" si="17"/>
        <v>88</v>
      </c>
      <c r="J78" s="491">
        <f t="shared" si="17"/>
        <v>86</v>
      </c>
      <c r="K78" s="491">
        <f t="shared" si="17"/>
        <v>84</v>
      </c>
      <c r="L78" s="491">
        <f t="shared" si="17"/>
        <v>82</v>
      </c>
      <c r="M78" s="492">
        <f t="shared" si="17"/>
        <v>80</v>
      </c>
      <c r="N78" s="2745"/>
      <c r="O78" s="2745"/>
      <c r="P78" s="2769"/>
      <c r="Q78" s="2730"/>
      <c r="R78" s="2716"/>
      <c r="S78" s="2716"/>
      <c r="T78" s="2716"/>
      <c r="U78" s="2716"/>
      <c r="V78" s="2716"/>
      <c r="W78" s="2716"/>
      <c r="X78" s="2716"/>
      <c r="Y78" s="2716"/>
      <c r="Z78" s="2716"/>
      <c r="AA78" s="2716"/>
      <c r="AB78" s="2716"/>
      <c r="AC78" s="2716"/>
      <c r="AD78" s="2716"/>
    </row>
    <row r="79" spans="1:30" ht="15.75" thickTop="1">
      <c r="A79" s="481"/>
      <c r="B79" s="485" t="s">
        <v>1853</v>
      </c>
      <c r="C79" s="525" t="str">
        <f>C80&amp;"(含)"&amp;"-"&amp;D80</f>
        <v>0.5(含)-0.6</v>
      </c>
      <c r="D79" s="525" t="str">
        <f>D80&amp;"(含)"&amp;"-"&amp;E80</f>
        <v>0.6(含)-0.7</v>
      </c>
      <c r="E79" s="525" t="str">
        <f>E80&amp;"(含)"&amp;"-"&amp;F80</f>
        <v>0.7(含)-0.8</v>
      </c>
      <c r="F79" s="525" t="str">
        <f>F80&amp;"(含)"&amp;"-"&amp;G80</f>
        <v>0.8(含)-0.9</v>
      </c>
      <c r="G79" s="525" t="str">
        <f>G80&amp;"(含)"&amp;"-"&amp;ROUND(H80,0)&amp;"(含)"</f>
        <v>0.9(含)-1(含)</v>
      </c>
      <c r="H79" s="525"/>
      <c r="I79" s="486"/>
      <c r="J79" s="486"/>
      <c r="K79" s="487"/>
      <c r="L79" s="488"/>
      <c r="M79" s="489"/>
      <c r="N79" s="2743"/>
      <c r="O79" s="2743"/>
      <c r="P79" s="2769"/>
      <c r="Q79" s="2730"/>
      <c r="R79" s="2716"/>
      <c r="S79" s="2716"/>
      <c r="T79" s="2716"/>
      <c r="U79" s="2716"/>
      <c r="V79" s="2716"/>
      <c r="W79" s="2716"/>
      <c r="X79" s="2716"/>
      <c r="Y79" s="2716"/>
      <c r="Z79" s="2716"/>
      <c r="AA79" s="2716"/>
      <c r="AB79" s="2716"/>
      <c r="AC79" s="2716"/>
      <c r="AD79" s="2716"/>
    </row>
    <row r="80" spans="1:30" ht="15">
      <c r="A80" s="481"/>
      <c r="B80" s="493"/>
      <c r="C80" s="550">
        <v>0.5</v>
      </c>
      <c r="D80" s="550">
        <v>0.6</v>
      </c>
      <c r="E80" s="550">
        <v>0.7</v>
      </c>
      <c r="F80" s="550">
        <v>0.8</v>
      </c>
      <c r="G80" s="550">
        <v>0.9</v>
      </c>
      <c r="H80" s="550">
        <v>1.0001</v>
      </c>
      <c r="I80" s="606"/>
      <c r="J80" s="606"/>
      <c r="K80" s="614"/>
      <c r="L80" s="615"/>
      <c r="M80" s="616"/>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0"/>
      <c r="B81" s="490"/>
      <c r="C81" s="529">
        <v>100</v>
      </c>
      <c r="D81" s="491">
        <f t="shared" ref="D81:M81" si="18">C81+$K27</f>
        <v>101</v>
      </c>
      <c r="E81" s="491">
        <f t="shared" si="18"/>
        <v>102</v>
      </c>
      <c r="F81" s="491">
        <f t="shared" si="18"/>
        <v>103</v>
      </c>
      <c r="G81" s="491">
        <f t="shared" si="18"/>
        <v>104</v>
      </c>
      <c r="H81" s="491">
        <f t="shared" si="18"/>
        <v>105</v>
      </c>
      <c r="I81" s="491">
        <f t="shared" si="18"/>
        <v>106</v>
      </c>
      <c r="J81" s="491">
        <f t="shared" si="18"/>
        <v>107</v>
      </c>
      <c r="K81" s="491">
        <f t="shared" si="18"/>
        <v>108</v>
      </c>
      <c r="L81" s="491">
        <f t="shared" si="18"/>
        <v>109</v>
      </c>
      <c r="M81" s="491">
        <f t="shared" si="18"/>
        <v>110</v>
      </c>
      <c r="N81" s="2745"/>
      <c r="O81" s="2745"/>
      <c r="P81" s="2770"/>
      <c r="Q81" s="2737"/>
      <c r="R81" s="2738"/>
      <c r="S81" s="2738"/>
      <c r="T81" s="2738"/>
      <c r="U81" s="2738"/>
      <c r="V81" s="2738"/>
      <c r="W81" s="2738"/>
      <c r="X81" s="2738"/>
      <c r="Y81" s="2738"/>
      <c r="Z81" s="2738"/>
      <c r="AA81" s="2738"/>
      <c r="AB81" s="2738"/>
      <c r="AC81" s="2738"/>
      <c r="AD81" s="2738"/>
    </row>
    <row r="82" spans="1:30" ht="15" thickTop="1">
      <c r="A82" s="546"/>
      <c r="B82" s="493" t="s">
        <v>1854</v>
      </c>
      <c r="C82" s="3467" t="s">
        <v>3886</v>
      </c>
      <c r="D82" s="501"/>
      <c r="E82" s="530"/>
      <c r="F82" s="530"/>
      <c r="G82" s="530"/>
      <c r="H82" s="530"/>
      <c r="I82" s="530"/>
      <c r="J82" s="530"/>
      <c r="K82" s="531"/>
      <c r="L82" s="532"/>
      <c r="M82" s="533"/>
      <c r="N82" s="2744"/>
      <c r="O82" s="2744"/>
      <c r="P82" s="2769"/>
      <c r="Q82" s="2730"/>
      <c r="R82" s="2716"/>
      <c r="S82" s="2716"/>
      <c r="T82" s="2716"/>
      <c r="U82" s="2716"/>
      <c r="V82" s="2716"/>
      <c r="W82" s="2716"/>
      <c r="X82" s="2716"/>
      <c r="Y82" s="2716"/>
      <c r="Z82" s="2716"/>
      <c r="AA82" s="2716"/>
      <c r="AB82" s="2716"/>
      <c r="AC82" s="2716"/>
      <c r="AD82" s="2716"/>
    </row>
    <row r="83" spans="1:30" ht="15.75" thickBot="1">
      <c r="A83" s="481"/>
      <c r="B83" s="490"/>
      <c r="C83" s="491">
        <v>100</v>
      </c>
      <c r="D83" s="491">
        <f t="shared" ref="D83:M83" si="19">C83-$K28</f>
        <v>98</v>
      </c>
      <c r="E83" s="491">
        <f t="shared" si="19"/>
        <v>96</v>
      </c>
      <c r="F83" s="491">
        <f t="shared" si="19"/>
        <v>94</v>
      </c>
      <c r="G83" s="491">
        <f t="shared" si="19"/>
        <v>92</v>
      </c>
      <c r="H83" s="491">
        <f t="shared" si="19"/>
        <v>90</v>
      </c>
      <c r="I83" s="491">
        <f t="shared" si="19"/>
        <v>88</v>
      </c>
      <c r="J83" s="491">
        <f t="shared" si="19"/>
        <v>86</v>
      </c>
      <c r="K83" s="491">
        <f t="shared" si="19"/>
        <v>84</v>
      </c>
      <c r="L83" s="491">
        <f t="shared" si="19"/>
        <v>82</v>
      </c>
      <c r="M83" s="492">
        <f t="shared" si="19"/>
        <v>80</v>
      </c>
      <c r="N83" s="2745"/>
      <c r="O83" s="2745"/>
      <c r="P83" s="2769"/>
      <c r="Q83" s="2730"/>
      <c r="R83" s="2716"/>
      <c r="S83" s="2716"/>
      <c r="T83" s="2716"/>
      <c r="U83" s="2716"/>
      <c r="V83" s="2716"/>
      <c r="W83" s="2716"/>
      <c r="X83" s="2716"/>
      <c r="Y83" s="2716"/>
      <c r="Z83" s="2716"/>
      <c r="AA83" s="2716"/>
      <c r="AB83" s="2716"/>
      <c r="AC83" s="2716"/>
      <c r="AD83" s="2716"/>
    </row>
    <row r="84" spans="1:30" ht="15" thickTop="1">
      <c r="A84" s="546"/>
      <c r="B84" s="485" t="s">
        <v>1862</v>
      </c>
      <c r="C84" s="3467" t="s">
        <v>3888</v>
      </c>
      <c r="D84" s="501"/>
      <c r="E84" s="501"/>
      <c r="F84" s="501"/>
      <c r="G84" s="501"/>
      <c r="H84" s="501"/>
      <c r="I84" s="530"/>
      <c r="J84" s="530"/>
      <c r="K84" s="531"/>
      <c r="L84" s="532"/>
      <c r="M84" s="533"/>
      <c r="N84" s="2744"/>
      <c r="O84" s="2744"/>
      <c r="P84" s="2769"/>
      <c r="Q84" s="2730"/>
      <c r="R84" s="2716"/>
      <c r="S84" s="2716"/>
      <c r="T84" s="2716"/>
      <c r="U84" s="2716"/>
      <c r="V84" s="2716"/>
      <c r="W84" s="2716"/>
      <c r="X84" s="2716"/>
      <c r="Y84" s="2716"/>
      <c r="Z84" s="2716"/>
      <c r="AA84" s="2716"/>
      <c r="AB84" s="2716"/>
      <c r="AC84" s="2716"/>
      <c r="AD84" s="2716"/>
    </row>
    <row r="85" spans="1:30" ht="15.75" thickBot="1">
      <c r="A85" s="481"/>
      <c r="B85" s="490"/>
      <c r="C85" s="529">
        <v>100</v>
      </c>
      <c r="D85" s="491">
        <f t="shared" ref="D85:M85" si="20">C85+$K29</f>
        <v>102</v>
      </c>
      <c r="E85" s="491">
        <f t="shared" si="20"/>
        <v>104</v>
      </c>
      <c r="F85" s="491">
        <f t="shared" si="20"/>
        <v>106</v>
      </c>
      <c r="G85" s="491">
        <f t="shared" si="20"/>
        <v>108</v>
      </c>
      <c r="H85" s="491">
        <f t="shared" si="20"/>
        <v>110</v>
      </c>
      <c r="I85" s="491">
        <f t="shared" si="20"/>
        <v>112</v>
      </c>
      <c r="J85" s="491">
        <f t="shared" si="20"/>
        <v>114</v>
      </c>
      <c r="K85" s="491">
        <f t="shared" si="20"/>
        <v>116</v>
      </c>
      <c r="L85" s="491">
        <f t="shared" si="20"/>
        <v>118</v>
      </c>
      <c r="M85" s="491">
        <f t="shared" si="20"/>
        <v>120</v>
      </c>
      <c r="N85" s="2745"/>
      <c r="O85" s="2745"/>
      <c r="P85" s="2769"/>
      <c r="Q85" s="2730"/>
      <c r="R85" s="2716"/>
      <c r="S85" s="2716"/>
      <c r="T85" s="2716"/>
      <c r="U85" s="2716"/>
      <c r="V85" s="2716"/>
      <c r="W85" s="2716"/>
      <c r="X85" s="2716"/>
      <c r="Y85" s="2716"/>
      <c r="Z85" s="2716"/>
      <c r="AA85" s="2716"/>
      <c r="AB85" s="2716"/>
      <c r="AC85" s="2716"/>
      <c r="AD85" s="2716"/>
    </row>
    <row r="86" spans="1:30" ht="15" thickTop="1">
      <c r="A86" s="546"/>
      <c r="B86" s="493" t="s">
        <v>1863</v>
      </c>
      <c r="C86" s="525" t="str">
        <f t="shared" ref="C86:L86" si="21">C87&amp;"(含)"&amp;"-"&amp;D87</f>
        <v>0(含)-</v>
      </c>
      <c r="D86" s="525" t="str">
        <f t="shared" si="21"/>
        <v>(含)-</v>
      </c>
      <c r="E86" s="525" t="str">
        <f t="shared" si="21"/>
        <v>(含)-</v>
      </c>
      <c r="F86" s="525" t="str">
        <f t="shared" si="21"/>
        <v>(含)-</v>
      </c>
      <c r="G86" s="525" t="str">
        <f t="shared" si="21"/>
        <v>(含)-</v>
      </c>
      <c r="H86" s="525" t="str">
        <f t="shared" si="21"/>
        <v>(含)-</v>
      </c>
      <c r="I86" s="525" t="str">
        <f t="shared" si="21"/>
        <v>(含)-</v>
      </c>
      <c r="J86" s="525" t="str">
        <f t="shared" si="21"/>
        <v>(含)-</v>
      </c>
      <c r="K86" s="525" t="str">
        <f t="shared" si="21"/>
        <v>(含)-</v>
      </c>
      <c r="L86" s="525" t="str">
        <f t="shared" si="21"/>
        <v>(含)-</v>
      </c>
      <c r="M86" s="568"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6"/>
      <c r="B87" s="493"/>
      <c r="C87" s="542">
        <v>0</v>
      </c>
      <c r="D87" s="542"/>
      <c r="E87" s="542"/>
      <c r="F87" s="542"/>
      <c r="G87" s="542"/>
      <c r="H87" s="542"/>
      <c r="I87" s="542"/>
      <c r="J87" s="543"/>
      <c r="K87" s="543"/>
      <c r="L87" s="544"/>
      <c r="M87" s="545"/>
      <c r="N87" s="2744"/>
      <c r="O87" s="2744"/>
      <c r="P87" s="2769"/>
      <c r="Q87" s="2730"/>
      <c r="R87" s="2716"/>
      <c r="S87" s="2716"/>
      <c r="T87" s="2716"/>
      <c r="U87" s="2716"/>
      <c r="V87" s="2716"/>
      <c r="W87" s="2716"/>
      <c r="X87" s="2716"/>
      <c r="Y87" s="2716"/>
      <c r="Z87" s="2716"/>
      <c r="AA87" s="2716"/>
      <c r="AB87" s="2716"/>
      <c r="AC87" s="2716"/>
      <c r="AD87" s="2716"/>
    </row>
    <row r="88" spans="1:30" ht="15.75" thickBot="1">
      <c r="A88" s="481"/>
      <c r="B88" s="490"/>
      <c r="C88" s="507"/>
      <c r="D88" s="483"/>
      <c r="E88" s="483"/>
      <c r="F88" s="483"/>
      <c r="G88" s="483"/>
      <c r="H88" s="483"/>
      <c r="I88" s="483"/>
      <c r="J88" s="483"/>
      <c r="K88" s="483"/>
      <c r="L88" s="483"/>
      <c r="M88" s="483"/>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0"/>
      <c r="B89" s="485" t="s">
        <v>1864</v>
      </c>
      <c r="C89" s="501"/>
      <c r="D89" s="501"/>
      <c r="E89" s="501"/>
      <c r="F89" s="501"/>
      <c r="G89" s="501"/>
      <c r="H89" s="501"/>
      <c r="I89" s="501"/>
      <c r="J89" s="501"/>
      <c r="K89" s="501"/>
      <c r="L89" s="501"/>
      <c r="M89" s="528"/>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0"/>
      <c r="B90" s="490"/>
      <c r="C90" s="507"/>
      <c r="D90" s="483"/>
      <c r="E90" s="483"/>
      <c r="F90" s="483"/>
      <c r="G90" s="483"/>
      <c r="H90" s="483"/>
      <c r="I90" s="483"/>
      <c r="J90" s="483"/>
      <c r="K90" s="483"/>
      <c r="L90" s="483"/>
      <c r="M90" s="484"/>
      <c r="N90" s="2746"/>
      <c r="O90" s="2746"/>
      <c r="P90" s="2770"/>
      <c r="Q90" s="2737"/>
      <c r="R90" s="2738"/>
      <c r="S90" s="2738"/>
      <c r="T90" s="2738"/>
      <c r="U90" s="2738"/>
      <c r="V90" s="2738"/>
      <c r="W90" s="2738"/>
      <c r="X90" s="2738"/>
      <c r="Y90" s="2738"/>
      <c r="Z90" s="2738"/>
      <c r="AA90" s="2738"/>
      <c r="AB90" s="2738"/>
      <c r="AC90" s="2738"/>
      <c r="AD90" s="2738"/>
    </row>
    <row r="91" spans="1:30" ht="15" thickTop="1">
      <c r="A91" s="546"/>
      <c r="B91" s="485">
        <f>B32</f>
        <v>111</v>
      </c>
      <c r="C91" s="496"/>
      <c r="D91" s="496"/>
      <c r="E91" s="496"/>
      <c r="F91" s="496"/>
      <c r="G91" s="501"/>
      <c r="H91" s="502"/>
      <c r="I91" s="502"/>
      <c r="J91" s="502"/>
      <c r="K91" s="502"/>
      <c r="L91" s="503"/>
      <c r="M91" s="504"/>
      <c r="N91" s="2744"/>
      <c r="O91" s="2744"/>
      <c r="P91" s="2769"/>
      <c r="Q91" s="2730"/>
      <c r="R91" s="2716"/>
      <c r="S91" s="2716"/>
      <c r="T91" s="2716"/>
      <c r="U91" s="2716"/>
      <c r="V91" s="2716"/>
      <c r="W91" s="2716"/>
      <c r="X91" s="2716"/>
      <c r="Y91" s="2716"/>
      <c r="Z91" s="2716"/>
      <c r="AA91" s="2716"/>
      <c r="AB91" s="2716"/>
      <c r="AC91" s="2716"/>
      <c r="AD91" s="2716"/>
    </row>
    <row r="92" spans="1:30" ht="15.75" thickBot="1">
      <c r="A92" s="481"/>
      <c r="B92" s="490"/>
      <c r="C92" s="507"/>
      <c r="D92" s="483"/>
      <c r="E92" s="483"/>
      <c r="F92" s="483"/>
      <c r="G92" s="507"/>
      <c r="H92" s="509"/>
      <c r="I92" s="509"/>
      <c r="J92" s="509"/>
      <c r="K92" s="509"/>
      <c r="L92" s="509"/>
      <c r="M92" s="510"/>
      <c r="N92" s="2745"/>
      <c r="O92" s="2745"/>
      <c r="P92" s="2769"/>
      <c r="Q92" s="2730"/>
      <c r="R92" s="2716"/>
      <c r="S92" s="2716"/>
      <c r="T92" s="2716"/>
      <c r="U92" s="2716"/>
      <c r="V92" s="2716"/>
      <c r="W92" s="2716"/>
      <c r="X92" s="2716"/>
      <c r="Y92" s="2716"/>
      <c r="Z92" s="2716"/>
      <c r="AA92" s="2716"/>
      <c r="AB92" s="2716"/>
      <c r="AC92" s="2716"/>
      <c r="AD92" s="2716"/>
    </row>
    <row r="93" spans="1:30" ht="15" thickTop="1">
      <c r="A93" s="546"/>
      <c r="B93" s="485">
        <f>B33</f>
        <v>111</v>
      </c>
      <c r="C93" s="496"/>
      <c r="D93" s="496"/>
      <c r="E93" s="496"/>
      <c r="F93" s="496"/>
      <c r="G93" s="501"/>
      <c r="H93" s="502"/>
      <c r="I93" s="502"/>
      <c r="J93" s="502"/>
      <c r="K93" s="502"/>
      <c r="L93" s="503"/>
      <c r="M93" s="504"/>
      <c r="N93" s="2744"/>
      <c r="O93" s="2744"/>
      <c r="P93" s="2769"/>
      <c r="Q93" s="2730"/>
      <c r="R93" s="2716"/>
      <c r="S93" s="2716"/>
      <c r="T93" s="2716"/>
      <c r="U93" s="2716"/>
      <c r="V93" s="2716"/>
      <c r="W93" s="2716"/>
      <c r="X93" s="2716"/>
      <c r="Y93" s="2716"/>
      <c r="Z93" s="2716"/>
      <c r="AA93" s="2716"/>
      <c r="AB93" s="2716"/>
      <c r="AC93" s="2716"/>
      <c r="AD93" s="2716"/>
    </row>
    <row r="94" spans="1:30" ht="15.75" thickBot="1">
      <c r="A94" s="481"/>
      <c r="B94" s="490"/>
      <c r="C94" s="507"/>
      <c r="D94" s="483"/>
      <c r="E94" s="483"/>
      <c r="F94" s="483"/>
      <c r="G94" s="507"/>
      <c r="H94" s="509"/>
      <c r="I94" s="509"/>
      <c r="J94" s="509"/>
      <c r="K94" s="509"/>
      <c r="L94" s="509"/>
      <c r="M94" s="510"/>
      <c r="N94" s="2745"/>
      <c r="O94" s="2745"/>
      <c r="P94" s="2769"/>
      <c r="Q94" s="2730"/>
      <c r="R94" s="2716"/>
      <c r="S94" s="2716"/>
      <c r="T94" s="2716"/>
      <c r="U94" s="2716"/>
      <c r="V94" s="2716"/>
      <c r="W94" s="2716"/>
      <c r="X94" s="2716"/>
      <c r="Y94" s="2716"/>
      <c r="Z94" s="2716"/>
      <c r="AA94" s="2716"/>
      <c r="AB94" s="2716"/>
      <c r="AC94" s="2716"/>
      <c r="AD94" s="2716"/>
    </row>
    <row r="95" spans="1:30" ht="15" thickTop="1">
      <c r="A95" s="546"/>
      <c r="B95" s="582">
        <f>B34</f>
        <v>111</v>
      </c>
      <c r="C95" s="496"/>
      <c r="D95" s="496"/>
      <c r="E95" s="496"/>
      <c r="F95" s="496"/>
      <c r="G95" s="501"/>
      <c r="H95" s="502"/>
      <c r="I95" s="502"/>
      <c r="J95" s="502"/>
      <c r="K95" s="502"/>
      <c r="L95" s="503"/>
      <c r="M95" s="504"/>
      <c r="N95" s="2745"/>
      <c r="O95" s="2745"/>
      <c r="P95" s="2772"/>
      <c r="Q95" s="2759"/>
      <c r="R95" s="2716"/>
      <c r="S95" s="2716"/>
      <c r="T95" s="2716"/>
      <c r="U95" s="2716"/>
      <c r="V95" s="2716"/>
      <c r="W95" s="2716"/>
      <c r="X95" s="2716"/>
      <c r="Y95" s="2716"/>
      <c r="Z95" s="2716"/>
      <c r="AA95" s="2716"/>
      <c r="AB95" s="2716"/>
      <c r="AC95" s="2716"/>
      <c r="AD95" s="2716"/>
    </row>
    <row r="96" spans="1:30" ht="15.75" thickBot="1">
      <c r="A96" s="481"/>
      <c r="B96" s="490"/>
      <c r="C96" s="507"/>
      <c r="D96" s="507"/>
      <c r="E96" s="507"/>
      <c r="F96" s="507"/>
      <c r="G96" s="507"/>
      <c r="H96" s="509"/>
      <c r="I96" s="509"/>
      <c r="J96" s="509"/>
      <c r="K96" s="509"/>
      <c r="L96" s="509"/>
      <c r="M96" s="510"/>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4"/>
      <c r="B98" s="934"/>
      <c r="C98" s="934"/>
      <c r="D98" s="934"/>
      <c r="E98" s="934"/>
      <c r="F98" s="934"/>
      <c r="G98" s="934"/>
      <c r="H98" s="934"/>
      <c r="I98" s="934"/>
      <c r="J98" s="934"/>
      <c r="K98" s="935"/>
      <c r="L98" s="936"/>
      <c r="M98" s="934"/>
      <c r="N98" s="2716"/>
      <c r="O98" s="2716"/>
      <c r="P98" s="2716"/>
      <c r="Q98" s="2716"/>
      <c r="R98" s="2716"/>
      <c r="S98" s="2716"/>
      <c r="T98" s="2716"/>
      <c r="U98" s="2716"/>
      <c r="V98" s="2716"/>
      <c r="W98" s="2716"/>
      <c r="X98" s="2716"/>
      <c r="Y98" s="2716"/>
      <c r="Z98" s="2716"/>
      <c r="AA98" s="2716"/>
      <c r="AB98" s="2716"/>
      <c r="AC98" s="2716"/>
      <c r="AD98" s="2716"/>
    </row>
    <row r="99" spans="1:30">
      <c r="A99" s="934"/>
      <c r="B99" s="934"/>
      <c r="C99" s="934"/>
      <c r="D99" s="934"/>
      <c r="E99" s="934"/>
      <c r="F99" s="934"/>
      <c r="G99" s="934"/>
      <c r="H99" s="934"/>
      <c r="I99" s="934"/>
      <c r="J99" s="934"/>
      <c r="K99" s="935"/>
      <c r="L99" s="936"/>
      <c r="M99" s="934"/>
      <c r="N99" s="2716"/>
      <c r="O99" s="2716"/>
      <c r="P99" s="2716"/>
      <c r="Q99" s="2716"/>
      <c r="R99" s="2716"/>
      <c r="S99" s="2716"/>
      <c r="T99" s="2716"/>
      <c r="U99" s="2716"/>
      <c r="V99" s="2716"/>
      <c r="W99" s="2716"/>
      <c r="X99" s="2716"/>
      <c r="Y99" s="2716"/>
      <c r="Z99" s="2716"/>
      <c r="AA99" s="2716"/>
      <c r="AB99" s="2716"/>
      <c r="AC99" s="2716"/>
      <c r="AD99" s="2716"/>
    </row>
    <row r="100" spans="1:30">
      <c r="A100" s="934"/>
      <c r="B100" s="934"/>
      <c r="C100" s="934"/>
      <c r="D100" s="934"/>
      <c r="E100" s="934"/>
      <c r="F100" s="934"/>
      <c r="G100" s="934"/>
      <c r="H100" s="934"/>
      <c r="I100" s="934"/>
      <c r="J100" s="934"/>
      <c r="K100" s="935"/>
      <c r="L100" s="936"/>
      <c r="M100" s="934"/>
      <c r="N100" s="2716"/>
      <c r="O100" s="2716"/>
      <c r="P100" s="2716"/>
      <c r="Q100" s="2716"/>
      <c r="R100" s="2716"/>
      <c r="S100" s="2716"/>
      <c r="T100" s="2716"/>
      <c r="U100" s="2716"/>
      <c r="V100" s="2716"/>
      <c r="W100" s="2716"/>
      <c r="X100" s="2716"/>
      <c r="Y100" s="2716"/>
      <c r="Z100" s="2716"/>
      <c r="AA100" s="2716"/>
      <c r="AB100" s="2716"/>
      <c r="AC100" s="2716"/>
      <c r="AD100" s="2716"/>
    </row>
    <row r="101" spans="1:30">
      <c r="A101" s="934"/>
      <c r="B101" s="934"/>
      <c r="C101" s="934"/>
      <c r="D101" s="934"/>
      <c r="E101" s="934"/>
      <c r="F101" s="934"/>
      <c r="G101" s="934"/>
      <c r="H101" s="934"/>
      <c r="I101" s="934"/>
      <c r="J101" s="934"/>
      <c r="K101" s="935"/>
      <c r="L101" s="936"/>
      <c r="M101" s="934"/>
      <c r="N101" s="2716"/>
      <c r="O101" s="2716"/>
      <c r="P101" s="2716"/>
      <c r="Q101" s="2716"/>
      <c r="R101" s="2716"/>
      <c r="S101" s="2716"/>
      <c r="T101" s="2716"/>
      <c r="U101" s="2716"/>
      <c r="V101" s="2716"/>
      <c r="W101" s="2716"/>
      <c r="X101" s="2716"/>
      <c r="Y101" s="2716"/>
      <c r="Z101" s="2716"/>
      <c r="AA101" s="2716"/>
      <c r="AB101" s="2716"/>
      <c r="AC101" s="2716"/>
      <c r="AD101" s="2716"/>
    </row>
    <row r="102" spans="1:30">
      <c r="A102" s="934"/>
      <c r="B102" s="934"/>
      <c r="C102" s="934"/>
      <c r="D102" s="934"/>
      <c r="E102" s="934"/>
      <c r="F102" s="934"/>
      <c r="G102" s="934"/>
      <c r="H102" s="934"/>
      <c r="I102" s="934"/>
      <c r="J102" s="934"/>
      <c r="K102" s="935"/>
      <c r="L102" s="936"/>
      <c r="M102" s="934"/>
      <c r="N102" s="2716"/>
      <c r="O102" s="2716"/>
      <c r="P102" s="2716"/>
      <c r="Q102" s="2716"/>
      <c r="R102" s="2716"/>
      <c r="S102" s="2716"/>
      <c r="T102" s="2716"/>
      <c r="U102" s="2716"/>
      <c r="V102" s="2716"/>
      <c r="W102" s="2716"/>
      <c r="X102" s="2716"/>
      <c r="Y102" s="2716"/>
      <c r="Z102" s="2716"/>
      <c r="AA102" s="2716"/>
      <c r="AB102" s="2716"/>
      <c r="AC102" s="2716"/>
      <c r="AD102" s="2716"/>
    </row>
    <row r="103" spans="1:30">
      <c r="A103" s="934"/>
      <c r="B103" s="934"/>
      <c r="C103" s="934"/>
      <c r="D103" s="934"/>
      <c r="E103" s="934"/>
      <c r="F103" s="934"/>
      <c r="G103" s="934"/>
      <c r="H103" s="934"/>
      <c r="I103" s="934"/>
      <c r="J103" s="934"/>
      <c r="K103" s="935"/>
      <c r="L103" s="936"/>
      <c r="M103" s="934"/>
      <c r="N103" s="934"/>
      <c r="O103" s="934"/>
      <c r="P103" s="2716"/>
      <c r="Q103" s="2716"/>
      <c r="R103" s="2716"/>
      <c r="S103" s="2716"/>
      <c r="T103" s="2716"/>
      <c r="U103" s="2716"/>
      <c r="V103" s="2716"/>
      <c r="W103" s="2716"/>
      <c r="X103" s="2716"/>
      <c r="Y103" s="2716"/>
      <c r="Z103" s="2716"/>
      <c r="AA103" s="2716"/>
      <c r="AB103" s="2716"/>
      <c r="AC103" s="2716"/>
      <c r="AD103" s="2716"/>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pane ySplit="5" topLeftCell="A6" activePane="bottomLeft" state="frozen"/>
      <selection pane="bottomLeft" activeCell="P1" sqref="P1"/>
    </sheetView>
  </sheetViews>
  <sheetFormatPr defaultRowHeight="13.5"/>
  <sheetData>
    <row r="1" spans="1:3">
      <c r="A1" s="3441" t="s">
        <v>3880</v>
      </c>
      <c r="B1" s="3441" t="s">
        <v>3853</v>
      </c>
      <c r="C1" s="3441" t="s">
        <v>3889</v>
      </c>
    </row>
    <row r="2" spans="1:3">
      <c r="A2" s="3441" t="s">
        <v>3881</v>
      </c>
      <c r="B2">
        <v>29480</v>
      </c>
      <c r="C2">
        <f>2093/56</f>
        <v>37.375</v>
      </c>
    </row>
    <row r="3" spans="1:3">
      <c r="A3" s="3441" t="s">
        <v>3851</v>
      </c>
      <c r="B3">
        <v>33001</v>
      </c>
      <c r="C3">
        <f>82/4</f>
        <v>20.5</v>
      </c>
    </row>
    <row r="4" spans="1:3">
      <c r="A4" s="3441" t="s">
        <v>3900</v>
      </c>
      <c r="B4">
        <v>33000</v>
      </c>
      <c r="C4">
        <f>912/25</f>
        <v>36.479999999999997</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0" zoomScaleNormal="60" zoomScaleSheetLayoutView="80" workbookViewId="0">
      <selection activeCell="M41" sqref="M41"/>
    </sheetView>
  </sheetViews>
  <sheetFormatPr defaultColWidth="9" defaultRowHeight="14.25"/>
  <cols>
    <col min="1" max="1" width="10.5" style="357" customWidth="1"/>
    <col min="2" max="2" width="15.75" style="357" customWidth="1"/>
    <col min="3" max="3" width="16.375" style="357" customWidth="1"/>
    <col min="4" max="4" width="12.25" style="357" customWidth="1"/>
    <col min="5" max="5" width="16.75" style="357" customWidth="1"/>
    <col min="6" max="6" width="12.25" style="357" customWidth="1"/>
    <col min="7" max="7" width="17" style="357" customWidth="1"/>
    <col min="8" max="8" width="12.25" style="357" customWidth="1"/>
    <col min="9" max="9" width="17.75" style="357" customWidth="1"/>
    <col min="10" max="10" width="12.25" style="357" customWidth="1"/>
    <col min="11" max="11" width="12.25" style="442" customWidth="1"/>
    <col min="12" max="12" width="12.25" style="443"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1829</v>
      </c>
      <c r="B1" s="1220" t="s">
        <v>3326</v>
      </c>
      <c r="C1" s="1221" t="s">
        <v>1660</v>
      </c>
      <c r="D1" s="1222" t="s">
        <v>3326</v>
      </c>
      <c r="E1" s="3424" t="s">
        <v>3879</v>
      </c>
      <c r="F1" s="1876" t="s">
        <v>3852</v>
      </c>
      <c r="G1" s="1224" t="s">
        <v>1765</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1460</v>
      </c>
      <c r="B2" s="1162">
        <f>IF(E1="项目模式",IF(C2="——",IF(B37="元/平方米",ROUND(C39*D3/10000,0),ROUND(F3*C39/10000,0)),IF(B37="元/平方米",ROUND(C39*D3/10000,0),ROUND(F3*C39/10000,0))-D2),IF(E1="单套模式",IF(C2="——",IF(B37="元/平方米",ROUND(C39*D3/10000,0),ROUND(F3*C39/10000,0)),IF(B37="元/平方米",ROUND(C39*D3/10000,0),ROUND(F3*C39/10000,0))-D2)))</f>
        <v>25567</v>
      </c>
      <c r="C2" s="1878" t="s">
        <v>43</v>
      </c>
      <c r="D2" s="905" t="e">
        <f ca="1">IF(E1="项目模式",SUMIF(INDIRECT("'"&amp;F2&amp;"'"&amp;"!A:A"),"承租人权益价值",INDIRECT("'"&amp;F2&amp;"'"&amp;"!c:c")),SUMIF(INDIRECT("'"&amp;F2&amp;"'"&amp;"!A:A"),"承租人权益价值（单套）",INDIRECT("'"&amp;F2&amp;"'"&amp;"!c:c")))</f>
        <v>#REF!</v>
      </c>
      <c r="E2" s="1879" t="s">
        <v>1461</v>
      </c>
      <c r="F2" s="1880"/>
      <c r="G2" s="906"/>
      <c r="H2" s="906"/>
      <c r="I2" s="906"/>
      <c r="J2" s="906"/>
      <c r="K2" s="908"/>
      <c r="L2" s="2725"/>
      <c r="M2" s="2726"/>
      <c r="N2" s="2726"/>
      <c r="O2" s="2726"/>
      <c r="P2" s="1163"/>
      <c r="Q2" s="697"/>
      <c r="R2" s="697"/>
      <c r="S2" s="697"/>
      <c r="T2" s="697"/>
      <c r="U2" s="697"/>
      <c r="V2" s="697"/>
      <c r="W2" s="697"/>
      <c r="X2" s="697"/>
      <c r="Y2" s="697"/>
      <c r="Z2" s="697"/>
      <c r="AA2" s="697"/>
      <c r="AB2" s="697"/>
      <c r="AC2" s="698"/>
    </row>
    <row r="3" spans="1:29" s="352" customFormat="1" ht="28.5" customHeight="1" thickBot="1">
      <c r="A3" s="203" t="s">
        <v>1462</v>
      </c>
      <c r="B3" s="556">
        <f>IF(AND(C2="——",B37="元/平方米"),C39,ROUND(B2*10000/D3,0))</f>
        <v>11749</v>
      </c>
      <c r="C3" s="354" t="s">
        <v>1766</v>
      </c>
      <c r="D3" s="353">
        <f>SUMIF('数据-汇总表'!$C19:$C33,D1,'数据-汇总表'!$E19:$E33)</f>
        <v>21761.329999999823</v>
      </c>
      <c r="E3" s="354" t="s">
        <v>1830</v>
      </c>
      <c r="F3" s="353">
        <f>SUMIF('数据-取费表'!A5:A15,D1,'数据-取费表'!AH5:AH15)</f>
        <v>580</v>
      </c>
      <c r="G3" s="906"/>
      <c r="H3" s="906"/>
      <c r="I3" s="906"/>
      <c r="J3" s="906"/>
      <c r="K3" s="908"/>
      <c r="L3" s="2725"/>
      <c r="M3" s="2726">
        <f>IF(C2="——",IF(B37="元/平方米",ROUND(C39*D3/10000,0),ROUND(F3*C39/10000,0)),IF(B37="元/平方米",ROUND(C39*D3/10000,0),ROUND(F3*C39/10000,0))-D2)</f>
        <v>25567</v>
      </c>
      <c r="N3" s="2726"/>
      <c r="O3" s="2726"/>
      <c r="P3" s="1163"/>
      <c r="Q3" s="697"/>
      <c r="R3" s="697"/>
      <c r="S3" s="697"/>
      <c r="T3" s="697"/>
      <c r="U3" s="697"/>
      <c r="V3" s="697"/>
      <c r="W3" s="697"/>
      <c r="X3" s="697"/>
      <c r="Y3" s="697"/>
      <c r="Z3" s="697"/>
      <c r="AA3" s="697"/>
      <c r="AB3" s="714"/>
      <c r="AC3" s="711"/>
    </row>
    <row r="4" spans="1:29" ht="15">
      <c r="A4" s="355" t="s">
        <v>1767</v>
      </c>
      <c r="B4" s="356"/>
      <c r="C4" s="3663" t="s">
        <v>1768</v>
      </c>
      <c r="D4" s="3675"/>
      <c r="E4" s="3676" t="s">
        <v>1769</v>
      </c>
      <c r="F4" s="3677"/>
      <c r="G4" s="3663" t="s">
        <v>1770</v>
      </c>
      <c r="H4" s="3675"/>
      <c r="I4" s="3663" t="s">
        <v>1771</v>
      </c>
      <c r="J4" s="3675"/>
      <c r="K4" s="557" t="s">
        <v>1772</v>
      </c>
      <c r="L4" s="2706"/>
      <c r="M4" s="2707"/>
      <c r="N4" s="2707"/>
      <c r="O4" s="2707"/>
      <c r="P4" s="3678" t="s">
        <v>1773</v>
      </c>
      <c r="Q4" s="3679"/>
      <c r="R4" s="3684" t="s">
        <v>1769</v>
      </c>
      <c r="S4" s="3685"/>
      <c r="T4" s="3684" t="s">
        <v>1770</v>
      </c>
      <c r="U4" s="3685"/>
      <c r="V4" s="3671" t="s">
        <v>1771</v>
      </c>
      <c r="W4" s="3671"/>
      <c r="X4" s="1352"/>
      <c r="Y4" s="3684" t="s">
        <v>1773</v>
      </c>
      <c r="Z4" s="3685"/>
      <c r="AA4" s="3672" t="s">
        <v>1769</v>
      </c>
      <c r="AB4" s="3673" t="s">
        <v>1770</v>
      </c>
      <c r="AC4" s="3672" t="s">
        <v>1771</v>
      </c>
    </row>
    <row r="5" spans="1:29" ht="15">
      <c r="A5" s="358"/>
      <c r="B5" s="359"/>
      <c r="C5" s="3735" t="s">
        <v>3882</v>
      </c>
      <c r="D5" s="3693"/>
      <c r="E5" s="3699" t="str">
        <f>车位售价!A2</f>
        <v>香山樾</v>
      </c>
      <c r="F5" s="3700"/>
      <c r="G5" s="3692" t="str">
        <f>车位售价!A3</f>
        <v>融创香山壹号院</v>
      </c>
      <c r="H5" s="3693"/>
      <c r="I5" s="3692" t="str">
        <f>车位售价!A4</f>
        <v>学府壹号院</v>
      </c>
      <c r="J5" s="3693"/>
      <c r="K5" s="557"/>
      <c r="L5" s="2706"/>
      <c r="M5" s="2707"/>
      <c r="N5" s="2707"/>
      <c r="O5" s="2707"/>
      <c r="P5" s="3680"/>
      <c r="Q5" s="3681"/>
      <c r="R5" s="3686"/>
      <c r="S5" s="3687"/>
      <c r="T5" s="3686"/>
      <c r="U5" s="3687"/>
      <c r="V5" s="3671"/>
      <c r="W5" s="3671"/>
      <c r="X5" s="1352"/>
      <c r="Y5" s="3686"/>
      <c r="Z5" s="3687"/>
      <c r="AA5" s="3673"/>
      <c r="AB5" s="3673"/>
      <c r="AC5" s="3673"/>
    </row>
    <row r="6" spans="1:29" ht="15.75" thickBot="1">
      <c r="A6" s="360"/>
      <c r="B6" s="361"/>
      <c r="C6" s="3690" t="s">
        <v>1675</v>
      </c>
      <c r="D6" s="3691"/>
      <c r="E6" s="3697" t="s">
        <v>1675</v>
      </c>
      <c r="F6" s="3698"/>
      <c r="G6" s="3690" t="s">
        <v>1675</v>
      </c>
      <c r="H6" s="3691"/>
      <c r="I6" s="3690" t="s">
        <v>1675</v>
      </c>
      <c r="J6" s="3691"/>
      <c r="K6" s="557" t="s">
        <v>1676</v>
      </c>
      <c r="L6" s="2706"/>
      <c r="M6" s="2707"/>
      <c r="N6" s="2707"/>
      <c r="O6" s="2707"/>
      <c r="P6" s="3682"/>
      <c r="Q6" s="3683"/>
      <c r="R6" s="3686"/>
      <c r="S6" s="3687"/>
      <c r="T6" s="3688"/>
      <c r="U6" s="3689"/>
      <c r="V6" s="3671"/>
      <c r="W6" s="3671"/>
      <c r="X6" s="1352"/>
      <c r="Y6" s="3688"/>
      <c r="Z6" s="3689"/>
      <c r="AA6" s="3674"/>
      <c r="AB6" s="3674"/>
      <c r="AC6" s="3674"/>
    </row>
    <row r="7" spans="1:29" s="108" customFormat="1" ht="15.75" thickBot="1">
      <c r="A7" s="362" t="s">
        <v>1677</v>
      </c>
      <c r="B7" s="363"/>
      <c r="C7" s="364">
        <f>'数据-取费表'!B2</f>
        <v>45576</v>
      </c>
      <c r="D7" s="365">
        <v>100</v>
      </c>
      <c r="E7" s="366">
        <f>C7</f>
        <v>45576</v>
      </c>
      <c r="F7" s="367">
        <f>SUMIF(48:48,YEAR(E7)&amp;"-"&amp;MONTH(E7),49:49)</f>
        <v>100</v>
      </c>
      <c r="G7" s="366">
        <f>E7</f>
        <v>45576</v>
      </c>
      <c r="H7" s="365">
        <f>SUMIF(48:48,YEAR(G7)&amp;"-"&amp;MONTH(G7),49:49)</f>
        <v>100</v>
      </c>
      <c r="I7" s="366">
        <f>G7</f>
        <v>45576</v>
      </c>
      <c r="J7" s="365">
        <f>SUMIF(48:48,YEAR(I7)&amp;"-"&amp;MONTH(I7),49:49)</f>
        <v>100</v>
      </c>
      <c r="K7" s="558"/>
      <c r="L7" s="2708"/>
      <c r="M7" s="2709"/>
      <c r="N7" s="2709"/>
      <c r="O7" s="2709"/>
      <c r="P7" s="3694" t="s">
        <v>1678</v>
      </c>
      <c r="Q7" s="3696"/>
      <c r="R7" s="699" t="s">
        <v>14</v>
      </c>
      <c r="S7" s="700">
        <f t="shared" ref="S7:S14" si="0">F7</f>
        <v>100</v>
      </c>
      <c r="T7" s="699" t="s">
        <v>14</v>
      </c>
      <c r="U7" s="700">
        <f t="shared" ref="U7:U14" si="1">H7</f>
        <v>100</v>
      </c>
      <c r="V7" s="699" t="s">
        <v>14</v>
      </c>
      <c r="W7" s="700">
        <f t="shared" ref="W7:W14" si="2">J7</f>
        <v>100</v>
      </c>
      <c r="X7" s="701"/>
      <c r="Y7" s="3694" t="s">
        <v>1678</v>
      </c>
      <c r="Z7" s="3695"/>
      <c r="AA7" s="702">
        <f>D7/F7</f>
        <v>1</v>
      </c>
      <c r="AB7" s="702">
        <f>D7/H7</f>
        <v>1</v>
      </c>
      <c r="AC7" s="702">
        <f>D7/J7</f>
        <v>1</v>
      </c>
    </row>
    <row r="8" spans="1:29" s="108" customFormat="1" ht="15.75" thickBot="1">
      <c r="A8" s="362" t="s">
        <v>1679</v>
      </c>
      <c r="B8" s="363"/>
      <c r="C8" s="368" t="s">
        <v>3510</v>
      </c>
      <c r="D8" s="365">
        <v>100</v>
      </c>
      <c r="E8" s="368" t="s">
        <v>3510</v>
      </c>
      <c r="F8" s="367">
        <f>SUMIF(51:51,E8,52:52)-SUMIF(51:51,C8,52:52)+100</f>
        <v>100</v>
      </c>
      <c r="G8" s="368" t="s">
        <v>3510</v>
      </c>
      <c r="H8" s="365">
        <f>SUMIF(51:51,G8,52:52)-SUMIF(51:51,C8,52:52)+100</f>
        <v>100</v>
      </c>
      <c r="I8" s="368" t="s">
        <v>3510</v>
      </c>
      <c r="J8" s="365">
        <f>SUMIF(51:51,I8,52:52)-SUMIF(51:51,C8,52:52)+100</f>
        <v>100</v>
      </c>
      <c r="K8" s="558"/>
      <c r="L8" s="2708"/>
      <c r="M8" s="2709"/>
      <c r="N8" s="2709"/>
      <c r="O8" s="2709"/>
      <c r="P8" s="3694" t="s">
        <v>1681</v>
      </c>
      <c r="Q8" s="3695"/>
      <c r="R8" s="699" t="s">
        <v>14</v>
      </c>
      <c r="S8" s="700">
        <f t="shared" si="0"/>
        <v>100</v>
      </c>
      <c r="T8" s="699" t="s">
        <v>14</v>
      </c>
      <c r="U8" s="700">
        <f t="shared" si="1"/>
        <v>100</v>
      </c>
      <c r="V8" s="699" t="s">
        <v>14</v>
      </c>
      <c r="W8" s="700">
        <f t="shared" si="2"/>
        <v>100</v>
      </c>
      <c r="X8" s="701"/>
      <c r="Y8" s="3694" t="s">
        <v>1681</v>
      </c>
      <c r="Z8" s="3695"/>
      <c r="AA8" s="702">
        <f t="shared" ref="AA8:AA36" si="3">D8/F8</f>
        <v>1</v>
      </c>
      <c r="AB8" s="702">
        <f t="shared" ref="AB8:AB36" si="4">D8/H8</f>
        <v>1</v>
      </c>
      <c r="AC8" s="702">
        <f t="shared" ref="AC8:AC36" si="5">D8/J8</f>
        <v>1</v>
      </c>
    </row>
    <row r="9" spans="1:29" s="108" customFormat="1">
      <c r="A9" s="60" t="s">
        <v>1682</v>
      </c>
      <c r="B9" s="586" t="s">
        <v>1683</v>
      </c>
      <c r="C9" s="3465" t="s">
        <v>3894</v>
      </c>
      <c r="D9" s="126">
        <v>100</v>
      </c>
      <c r="E9" s="373" t="s">
        <v>3893</v>
      </c>
      <c r="F9" s="126">
        <f>SUMIF(53:53,E9,54:54)-SUMIF(53:53,C9,54:54)+100</f>
        <v>100</v>
      </c>
      <c r="G9" s="373" t="s">
        <v>3893</v>
      </c>
      <c r="H9" s="126">
        <f>SUMIF(53:53,G9,54:54)-SUMIF(53:53,C9,54:54)+100</f>
        <v>100</v>
      </c>
      <c r="I9" s="373" t="s">
        <v>3893</v>
      </c>
      <c r="J9" s="126">
        <f>SUMIF(53:53,I9,54:54)-SUMIF(53:53,C9,54:54)+100</f>
        <v>100</v>
      </c>
      <c r="K9" s="558"/>
      <c r="L9" s="2708"/>
      <c r="M9" s="2709"/>
      <c r="N9" s="2709"/>
      <c r="O9" s="2709"/>
      <c r="P9" s="3666" t="s">
        <v>1684</v>
      </c>
      <c r="Q9" s="1340" t="str">
        <f t="shared" ref="Q9:Q14" si="6">B9</f>
        <v>用途</v>
      </c>
      <c r="R9" s="699" t="s">
        <v>14</v>
      </c>
      <c r="S9" s="700">
        <f t="shared" si="0"/>
        <v>100</v>
      </c>
      <c r="T9" s="699" t="s">
        <v>14</v>
      </c>
      <c r="U9" s="700">
        <f t="shared" si="1"/>
        <v>100</v>
      </c>
      <c r="V9" s="699" t="s">
        <v>14</v>
      </c>
      <c r="W9" s="700">
        <f t="shared" si="2"/>
        <v>100</v>
      </c>
      <c r="X9" s="701"/>
      <c r="Y9" s="3563" t="s">
        <v>1685</v>
      </c>
      <c r="Z9" s="52" t="str">
        <f t="shared" ref="Z9:Z14" si="7">Q9</f>
        <v>用途</v>
      </c>
      <c r="AA9" s="702">
        <f t="shared" si="3"/>
        <v>1</v>
      </c>
      <c r="AB9" s="702">
        <f t="shared" si="4"/>
        <v>1</v>
      </c>
      <c r="AC9" s="702">
        <f t="shared" si="5"/>
        <v>1</v>
      </c>
    </row>
    <row r="10" spans="1:29" s="378" customFormat="1" ht="27.75" thickBot="1">
      <c r="A10" s="587"/>
      <c r="B10" s="588" t="s">
        <v>1686</v>
      </c>
      <c r="C10" s="3425"/>
      <c r="D10" s="127">
        <v>100</v>
      </c>
      <c r="E10" s="3425"/>
      <c r="F10" s="127">
        <f>SUMIF(55:55,E10,56:56)-SUMIF(55:55,C10,56:56)+100</f>
        <v>100</v>
      </c>
      <c r="G10" s="3426"/>
      <c r="H10" s="127">
        <f>SUMIF(55:55,G10,56:56)-SUMIF(55:55,C10,56:56)+100</f>
        <v>100</v>
      </c>
      <c r="I10" s="3425"/>
      <c r="J10" s="127">
        <f>SUMIF(55:55,I10,56:56)-SUMIF(55:55,C10,56:56)+100</f>
        <v>100</v>
      </c>
      <c r="K10" s="558"/>
      <c r="L10" s="2710"/>
      <c r="M10" s="2711"/>
      <c r="N10" s="2711"/>
      <c r="O10" s="2711"/>
      <c r="P10" s="3666"/>
      <c r="Q10" s="1340" t="str">
        <f t="shared" si="6"/>
        <v>土地使用年限（年）</v>
      </c>
      <c r="R10" s="699" t="s">
        <v>14</v>
      </c>
      <c r="S10" s="700">
        <f t="shared" si="0"/>
        <v>100</v>
      </c>
      <c r="T10" s="699" t="s">
        <v>14</v>
      </c>
      <c r="U10" s="700">
        <f t="shared" si="1"/>
        <v>100</v>
      </c>
      <c r="V10" s="699" t="s">
        <v>14</v>
      </c>
      <c r="W10" s="700">
        <f t="shared" si="2"/>
        <v>100</v>
      </c>
      <c r="X10" s="701"/>
      <c r="Y10" s="3563"/>
      <c r="Z10" s="52" t="str">
        <f t="shared" si="7"/>
        <v>土地使用年限（年）</v>
      </c>
      <c r="AA10" s="702">
        <f t="shared" si="3"/>
        <v>1</v>
      </c>
      <c r="AB10" s="702">
        <f t="shared" si="4"/>
        <v>1</v>
      </c>
      <c r="AC10" s="702">
        <f t="shared" si="5"/>
        <v>1</v>
      </c>
    </row>
    <row r="11" spans="1:29" ht="15" hidden="1">
      <c r="A11" s="589"/>
      <c r="B11" s="590">
        <v>111</v>
      </c>
      <c r="C11" s="383"/>
      <c r="D11" s="127">
        <v>100</v>
      </c>
      <c r="E11" s="383"/>
      <c r="F11" s="127">
        <f>SUMIF(57:57,E11,58:58)-SUMIF(57:57,C11,58:58)+100</f>
        <v>100</v>
      </c>
      <c r="G11" s="383"/>
      <c r="H11" s="127">
        <f>SUMIF(57:57,G11,58:58)-SUMIF(57:57,C11,58:58)+100</f>
        <v>100</v>
      </c>
      <c r="I11" s="383"/>
      <c r="J11" s="127">
        <f>SUMIF(57:57,I11,58:58)-SUMIF(57:57,C11,58:58)+100</f>
        <v>100</v>
      </c>
      <c r="K11" s="560"/>
      <c r="L11" s="2712"/>
      <c r="M11" s="2707"/>
      <c r="N11" s="2707"/>
      <c r="O11" s="2707"/>
      <c r="P11" s="3666"/>
      <c r="Q11" s="1340">
        <f t="shared" si="6"/>
        <v>111</v>
      </c>
      <c r="R11" s="699" t="s">
        <v>14</v>
      </c>
      <c r="S11" s="700">
        <f t="shared" si="0"/>
        <v>100</v>
      </c>
      <c r="T11" s="699" t="s">
        <v>14</v>
      </c>
      <c r="U11" s="700">
        <f t="shared" si="1"/>
        <v>100</v>
      </c>
      <c r="V11" s="699" t="s">
        <v>14</v>
      </c>
      <c r="W11" s="700">
        <f t="shared" si="2"/>
        <v>100</v>
      </c>
      <c r="X11" s="701"/>
      <c r="Y11" s="3563"/>
      <c r="Z11" s="52">
        <f t="shared" si="7"/>
        <v>111</v>
      </c>
      <c r="AA11" s="702">
        <f t="shared" si="3"/>
        <v>1</v>
      </c>
      <c r="AB11" s="702">
        <f t="shared" si="4"/>
        <v>1</v>
      </c>
      <c r="AC11" s="702">
        <f t="shared" si="5"/>
        <v>1</v>
      </c>
    </row>
    <row r="12" spans="1:29" s="108" customFormat="1" ht="15" hidden="1">
      <c r="A12" s="591"/>
      <c r="B12" s="590">
        <v>111</v>
      </c>
      <c r="C12" s="383"/>
      <c r="D12" s="384">
        <v>100</v>
      </c>
      <c r="E12" s="383"/>
      <c r="F12" s="127">
        <f>SUMIF(59:59,E12,60:60)-SUMIF(59:59,C12,60:60)+100</f>
        <v>100</v>
      </c>
      <c r="G12" s="383"/>
      <c r="H12" s="127">
        <f>SUMIF(59:59,G12,60:60)-SUMIF(59:59,C12,60:60)+100</f>
        <v>100</v>
      </c>
      <c r="I12" s="383"/>
      <c r="J12" s="127">
        <f>SUMIF(59:59,I12,60:60)-SUMIF(59:59,C12,60:60)+100</f>
        <v>100</v>
      </c>
      <c r="K12" s="560"/>
      <c r="L12" s="2708"/>
      <c r="M12" s="2709"/>
      <c r="N12" s="2709"/>
      <c r="O12" s="2709"/>
      <c r="P12" s="3666"/>
      <c r="Q12" s="1340">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702">
        <f>D12/J12</f>
        <v>1</v>
      </c>
    </row>
    <row r="13" spans="1:29" ht="15.75" hidden="1" thickBot="1">
      <c r="A13" s="592"/>
      <c r="B13" s="590">
        <v>111</v>
      </c>
      <c r="C13" s="385"/>
      <c r="D13" s="386">
        <v>100</v>
      </c>
      <c r="E13" s="383"/>
      <c r="F13" s="127">
        <f>SUMIF(61:61,E13,62:62)-SUMIF(61:61,C13,62:62)+100</f>
        <v>100</v>
      </c>
      <c r="G13" s="383"/>
      <c r="H13" s="386">
        <f>SUMIF(61:61,G13,62:62)-SUMIF(61:61,C13,62:62)+100</f>
        <v>100</v>
      </c>
      <c r="I13" s="383"/>
      <c r="J13" s="386">
        <f>SUMIF(61:61,I13,62:62)-SUMIF(61:61,C13,62:62)+100</f>
        <v>100</v>
      </c>
      <c r="K13" s="560"/>
      <c r="L13" s="2713"/>
      <c r="M13" s="2707"/>
      <c r="N13" s="2707"/>
      <c r="O13" s="2707"/>
      <c r="P13" s="3666"/>
      <c r="Q13" s="1340">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702">
        <f t="shared" si="5"/>
        <v>1</v>
      </c>
    </row>
    <row r="14" spans="1:29" ht="15">
      <c r="A14" s="355" t="s">
        <v>1688</v>
      </c>
      <c r="B14" s="575" t="s">
        <v>1831</v>
      </c>
      <c r="C14" s="1965" t="str">
        <f>IF(B1="工业",估价对象房地状况!G4,估价对象房地状况!C6)</f>
        <v>一般</v>
      </c>
      <c r="D14" s="392">
        <v>100</v>
      </c>
      <c r="E14" s="393" t="s">
        <v>3503</v>
      </c>
      <c r="F14" s="394">
        <f>SUMIF(63:63,E15,64:64)-SUMIF(63:63,C15,64:64)+100</f>
        <v>100</v>
      </c>
      <c r="G14" s="395" t="s">
        <v>3503</v>
      </c>
      <c r="H14" s="392">
        <f>SUMIF(63:63,G15,64:64)-SUMIF(63:63,C15,64:64)+100</f>
        <v>100</v>
      </c>
      <c r="I14" s="395" t="s">
        <v>3503</v>
      </c>
      <c r="J14" s="392">
        <f>SUMIF(63:63,I15,64:64)-SUMIF(63:63,C15,64:64)+100</f>
        <v>100</v>
      </c>
      <c r="K14" s="561">
        <v>2</v>
      </c>
      <c r="L14" s="2713"/>
      <c r="M14" s="2707"/>
      <c r="N14" s="2707"/>
      <c r="O14" s="2707"/>
      <c r="P14" s="3667" t="s">
        <v>1689</v>
      </c>
      <c r="Q14" s="1349" t="str">
        <f t="shared" si="6"/>
        <v>交通便捷度</v>
      </c>
      <c r="R14" s="703" t="s">
        <v>14</v>
      </c>
      <c r="S14" s="704">
        <f t="shared" si="0"/>
        <v>100</v>
      </c>
      <c r="T14" s="703" t="s">
        <v>14</v>
      </c>
      <c r="U14" s="704">
        <f t="shared" si="1"/>
        <v>100</v>
      </c>
      <c r="V14" s="703" t="s">
        <v>14</v>
      </c>
      <c r="W14" s="704">
        <f t="shared" si="2"/>
        <v>100</v>
      </c>
      <c r="X14" s="1352"/>
      <c r="Y14" s="3667" t="s">
        <v>1689</v>
      </c>
      <c r="Z14" s="1353" t="str">
        <f t="shared" si="7"/>
        <v>交通便捷度</v>
      </c>
      <c r="AA14" s="1350">
        <f t="shared" si="3"/>
        <v>1</v>
      </c>
      <c r="AB14" s="1350">
        <f t="shared" si="4"/>
        <v>1</v>
      </c>
      <c r="AC14" s="1350">
        <f t="shared" si="5"/>
        <v>1</v>
      </c>
    </row>
    <row r="15" spans="1:29" ht="15">
      <c r="A15" s="358"/>
      <c r="B15" s="593"/>
      <c r="C15" s="398" t="s">
        <v>3503</v>
      </c>
      <c r="D15" s="399"/>
      <c r="E15" s="398" t="s">
        <v>3503</v>
      </c>
      <c r="F15" s="400"/>
      <c r="G15" s="398" t="s">
        <v>3503</v>
      </c>
      <c r="H15" s="401"/>
      <c r="I15" s="398" t="s">
        <v>3503</v>
      </c>
      <c r="J15" s="399"/>
      <c r="K15" s="562"/>
      <c r="L15" s="2713"/>
      <c r="M15" s="2707"/>
      <c r="N15" s="2707"/>
      <c r="O15" s="2707"/>
      <c r="P15" s="3668"/>
      <c r="Q15" s="1349"/>
      <c r="R15" s="703"/>
      <c r="S15" s="704"/>
      <c r="T15" s="703"/>
      <c r="U15" s="704"/>
      <c r="V15" s="703"/>
      <c r="W15" s="704"/>
      <c r="X15" s="1352"/>
      <c r="Y15" s="3668"/>
      <c r="Z15" s="1353"/>
      <c r="AA15" s="1350">
        <v>1</v>
      </c>
      <c r="AB15" s="1350">
        <v>1</v>
      </c>
      <c r="AC15" s="1350">
        <v>1</v>
      </c>
    </row>
    <row r="16" spans="1:29" ht="15">
      <c r="A16" s="358"/>
      <c r="B16" s="577" t="s">
        <v>1810</v>
      </c>
      <c r="C16" s="1896" t="str">
        <f>IF(B1="工业",估价对象房地状况!G5,估价对象房地状况!C7)</f>
        <v>一般</v>
      </c>
      <c r="D16" s="406">
        <v>100</v>
      </c>
      <c r="E16" s="408" t="s">
        <v>3503</v>
      </c>
      <c r="F16" s="409">
        <f>SUMIF(65:65,E17,66:66)-SUMIF(65:65,C17,66:66)+100</f>
        <v>100</v>
      </c>
      <c r="G16" s="410" t="s">
        <v>3503</v>
      </c>
      <c r="H16" s="406">
        <f>SUMIF(65:65,G17,66:66)-SUMIF(65:65,C17,66:66)+100</f>
        <v>100</v>
      </c>
      <c r="I16" s="410" t="s">
        <v>3503</v>
      </c>
      <c r="J16" s="406">
        <f>SUMIF(65:65,I17,66:66)-SUMIF(65:65,C17,66:66)+100</f>
        <v>100</v>
      </c>
      <c r="K16" s="561">
        <v>2</v>
      </c>
      <c r="L16" s="2713"/>
      <c r="M16" s="2707"/>
      <c r="N16" s="2707"/>
      <c r="O16" s="2707"/>
      <c r="P16" s="3668"/>
      <c r="Q16" s="1349" t="str">
        <f>B16</f>
        <v>公共配套设施</v>
      </c>
      <c r="R16" s="703" t="s">
        <v>14</v>
      </c>
      <c r="S16" s="704">
        <f>F16</f>
        <v>100</v>
      </c>
      <c r="T16" s="703" t="s">
        <v>14</v>
      </c>
      <c r="U16" s="704">
        <f>H16</f>
        <v>100</v>
      </c>
      <c r="V16" s="703" t="s">
        <v>14</v>
      </c>
      <c r="W16" s="704">
        <f>J16</f>
        <v>100</v>
      </c>
      <c r="X16" s="1352"/>
      <c r="Y16" s="3668"/>
      <c r="Z16" s="1353" t="str">
        <f>Q16</f>
        <v>公共配套设施</v>
      </c>
      <c r="AA16" s="1350">
        <f t="shared" si="3"/>
        <v>1</v>
      </c>
      <c r="AB16" s="1350">
        <f t="shared" si="4"/>
        <v>1</v>
      </c>
      <c r="AC16" s="1350">
        <f t="shared" si="5"/>
        <v>1</v>
      </c>
    </row>
    <row r="17" spans="1:29" ht="15">
      <c r="A17" s="358"/>
      <c r="B17" s="578"/>
      <c r="C17" s="1897" t="s">
        <v>3503</v>
      </c>
      <c r="D17" s="399"/>
      <c r="E17" s="398" t="s">
        <v>3503</v>
      </c>
      <c r="F17" s="400"/>
      <c r="G17" s="398" t="s">
        <v>3503</v>
      </c>
      <c r="H17" s="399"/>
      <c r="I17" s="398" t="s">
        <v>3503</v>
      </c>
      <c r="J17" s="399"/>
      <c r="K17" s="562"/>
      <c r="L17" s="2713"/>
      <c r="M17" s="2707"/>
      <c r="N17" s="2707"/>
      <c r="O17" s="2707"/>
      <c r="P17" s="3668"/>
      <c r="Q17" s="1349"/>
      <c r="R17" s="703"/>
      <c r="S17" s="704"/>
      <c r="T17" s="703"/>
      <c r="U17" s="704"/>
      <c r="V17" s="703"/>
      <c r="W17" s="704"/>
      <c r="X17" s="1352"/>
      <c r="Y17" s="3668"/>
      <c r="Z17" s="1353"/>
      <c r="AA17" s="1350">
        <v>1</v>
      </c>
      <c r="AB17" s="1350">
        <v>1</v>
      </c>
      <c r="AC17" s="1350">
        <v>1</v>
      </c>
    </row>
    <row r="18" spans="1:29" ht="15">
      <c r="A18" s="358"/>
      <c r="B18" s="579" t="s">
        <v>1811</v>
      </c>
      <c r="C18" s="1896" t="str">
        <f>IF(B1="工业",估价对象房地状况!G6,估价对象房地状况!C8)</f>
        <v>六通</v>
      </c>
      <c r="D18" s="401">
        <v>100</v>
      </c>
      <c r="E18" s="403" t="s">
        <v>3507</v>
      </c>
      <c r="F18" s="409">
        <f>SUMIF(67:67,E19,68:68)-SUMIF(67:67,C19,68:68)+100</f>
        <v>100</v>
      </c>
      <c r="G18" s="3471" t="s">
        <v>3884</v>
      </c>
      <c r="H18" s="406">
        <f>SUMIF(67:67,G19,68:68)-SUMIF(67:67,C19,68:68)+100</f>
        <v>101</v>
      </c>
      <c r="I18" s="3471" t="s">
        <v>3884</v>
      </c>
      <c r="J18" s="406">
        <f>SUMIF(67:67,I19,68:68)-SUMIF(67:67,C19,68:68)+100</f>
        <v>101</v>
      </c>
      <c r="K18" s="561">
        <v>1</v>
      </c>
      <c r="L18" s="2713"/>
      <c r="M18" s="2707"/>
      <c r="N18" s="2707"/>
      <c r="O18" s="2707"/>
      <c r="P18" s="3668"/>
      <c r="Q18" s="1349" t="str">
        <f>B18</f>
        <v>基础设施水平</v>
      </c>
      <c r="R18" s="703" t="s">
        <v>14</v>
      </c>
      <c r="S18" s="704">
        <f>F18</f>
        <v>100</v>
      </c>
      <c r="T18" s="703" t="s">
        <v>14</v>
      </c>
      <c r="U18" s="704">
        <f>H18</f>
        <v>101</v>
      </c>
      <c r="V18" s="703" t="s">
        <v>14</v>
      </c>
      <c r="W18" s="704">
        <f>J18</f>
        <v>101</v>
      </c>
      <c r="X18" s="1352"/>
      <c r="Y18" s="3668"/>
      <c r="Z18" s="1353" t="str">
        <f>Q18</f>
        <v>基础设施水平</v>
      </c>
      <c r="AA18" s="1350">
        <f t="shared" ref="AA18" si="8">D18/F18</f>
        <v>1</v>
      </c>
      <c r="AB18" s="1350">
        <f t="shared" ref="AB18" si="9">D18/H18</f>
        <v>0.99009900990099009</v>
      </c>
      <c r="AC18" s="1350">
        <f t="shared" ref="AC18" si="10">D18/J18</f>
        <v>0.99009900990099009</v>
      </c>
    </row>
    <row r="19" spans="1:29" ht="15">
      <c r="A19" s="358"/>
      <c r="B19" s="579"/>
      <c r="C19" s="1897" t="s">
        <v>3507</v>
      </c>
      <c r="D19" s="401"/>
      <c r="E19" s="1897" t="s">
        <v>3507</v>
      </c>
      <c r="F19" s="404"/>
      <c r="G19" s="1897" t="s">
        <v>3514</v>
      </c>
      <c r="H19" s="399"/>
      <c r="I19" s="1897" t="s">
        <v>3514</v>
      </c>
      <c r="J19" s="399"/>
      <c r="K19" s="1128"/>
      <c r="L19" s="2713"/>
      <c r="M19" s="2707"/>
      <c r="N19" s="2707"/>
      <c r="O19" s="2707"/>
      <c r="P19" s="3668"/>
      <c r="Q19" s="1349"/>
      <c r="R19" s="703"/>
      <c r="S19" s="704"/>
      <c r="T19" s="703"/>
      <c r="U19" s="704"/>
      <c r="V19" s="703"/>
      <c r="W19" s="704"/>
      <c r="X19" s="1352"/>
      <c r="Y19" s="3668"/>
      <c r="Z19" s="1353"/>
      <c r="AA19" s="1350">
        <v>1</v>
      </c>
      <c r="AB19" s="1350">
        <v>1</v>
      </c>
      <c r="AC19" s="1350">
        <v>1</v>
      </c>
    </row>
    <row r="20" spans="1:29" ht="15">
      <c r="A20" s="358"/>
      <c r="B20" s="577" t="s">
        <v>1832</v>
      </c>
      <c r="C20" s="1896" t="str">
        <f>IF(B1="工业",估价对象房地状况!G7,估价对象房地状况!C9)</f>
        <v>较好</v>
      </c>
      <c r="D20" s="406">
        <v>100</v>
      </c>
      <c r="E20" s="408" t="s">
        <v>3501</v>
      </c>
      <c r="F20" s="409">
        <f>SUMIF(69:69,E21,70:70)-SUMIF(69:69,C21,70:70)+100</f>
        <v>100</v>
      </c>
      <c r="G20" s="410" t="s">
        <v>3501</v>
      </c>
      <c r="H20" s="401">
        <f>SUMIF(69:69,G21,70:70)-SUMIF(69:69,C21,70:70)+100</f>
        <v>100</v>
      </c>
      <c r="I20" s="410" t="s">
        <v>3501</v>
      </c>
      <c r="J20" s="401">
        <f>SUMIF(69:69,I21,70:70)-SUMIF(69:69,C21,70:70)+100</f>
        <v>100</v>
      </c>
      <c r="K20" s="561">
        <v>2</v>
      </c>
      <c r="L20" s="2713"/>
      <c r="M20" s="2707"/>
      <c r="N20" s="2707"/>
      <c r="O20" s="2707"/>
      <c r="P20" s="3668"/>
      <c r="Q20" s="1349" t="str">
        <f>B20</f>
        <v>自然及人文环境</v>
      </c>
      <c r="R20" s="703" t="s">
        <v>14</v>
      </c>
      <c r="S20" s="704">
        <f>F20</f>
        <v>100</v>
      </c>
      <c r="T20" s="703" t="s">
        <v>14</v>
      </c>
      <c r="U20" s="704">
        <f>H20</f>
        <v>100</v>
      </c>
      <c r="V20" s="703" t="s">
        <v>14</v>
      </c>
      <c r="W20" s="704">
        <f>J20</f>
        <v>100</v>
      </c>
      <c r="X20" s="1352"/>
      <c r="Y20" s="3668"/>
      <c r="Z20" s="1353" t="str">
        <f>Q20</f>
        <v>自然及人文环境</v>
      </c>
      <c r="AA20" s="1350">
        <f t="shared" si="3"/>
        <v>1</v>
      </c>
      <c r="AB20" s="1350">
        <f t="shared" si="4"/>
        <v>1</v>
      </c>
      <c r="AC20" s="1350">
        <f t="shared" si="5"/>
        <v>1</v>
      </c>
    </row>
    <row r="21" spans="1:29" ht="15">
      <c r="A21" s="358"/>
      <c r="B21" s="578"/>
      <c r="C21" s="398" t="s">
        <v>3501</v>
      </c>
      <c r="D21" s="399"/>
      <c r="E21" s="398" t="s">
        <v>3501</v>
      </c>
      <c r="F21" s="400"/>
      <c r="G21" s="398" t="s">
        <v>3501</v>
      </c>
      <c r="H21" s="399"/>
      <c r="I21" s="398" t="s">
        <v>3501</v>
      </c>
      <c r="J21" s="399"/>
      <c r="K21" s="562"/>
      <c r="L21" s="2713"/>
      <c r="M21" s="2707"/>
      <c r="N21" s="2707"/>
      <c r="O21" s="2707"/>
      <c r="P21" s="3668"/>
      <c r="Q21" s="1349"/>
      <c r="R21" s="703"/>
      <c r="S21" s="704"/>
      <c r="T21" s="703"/>
      <c r="U21" s="704"/>
      <c r="V21" s="703"/>
      <c r="W21" s="704"/>
      <c r="X21" s="1352"/>
      <c r="Y21" s="3668"/>
      <c r="Z21" s="1353"/>
      <c r="AA21" s="1350">
        <v>1</v>
      </c>
      <c r="AB21" s="1350">
        <v>1</v>
      </c>
      <c r="AC21" s="1350">
        <v>1</v>
      </c>
    </row>
    <row r="22" spans="1:29" ht="15.75" thickBot="1">
      <c r="A22" s="358"/>
      <c r="B22" s="577" t="s">
        <v>1833</v>
      </c>
      <c r="C22" s="563"/>
      <c r="D22" s="401">
        <v>100</v>
      </c>
      <c r="E22" s="563"/>
      <c r="F22" s="412">
        <f>SUMIF(71:71,E22,72:72)-SUMIF(71:71,C22,72:72)+100</f>
        <v>100</v>
      </c>
      <c r="G22" s="563"/>
      <c r="H22" s="386">
        <f>SUMIF(71:71,G22,72:72)-SUMIF(71:71,C22,72:72)+100</f>
        <v>100</v>
      </c>
      <c r="I22" s="563"/>
      <c r="J22" s="386">
        <f>SUMIF(71:71,I22,72:72)-SUMIF(71:71,C22,72:72)+100</f>
        <v>100</v>
      </c>
      <c r="K22" s="559"/>
      <c r="L22" s="2713"/>
      <c r="M22" s="2707"/>
      <c r="N22" s="2707"/>
      <c r="O22" s="2707"/>
      <c r="P22" s="3668"/>
      <c r="Q22" s="1349" t="str">
        <f>B22</f>
        <v>楼层</v>
      </c>
      <c r="R22" s="703" t="s">
        <v>14</v>
      </c>
      <c r="S22" s="704">
        <f>F22</f>
        <v>100</v>
      </c>
      <c r="T22" s="703" t="s">
        <v>14</v>
      </c>
      <c r="U22" s="704">
        <f>H22</f>
        <v>100</v>
      </c>
      <c r="V22" s="703" t="s">
        <v>14</v>
      </c>
      <c r="W22" s="704">
        <f>J22</f>
        <v>100</v>
      </c>
      <c r="X22" s="1352"/>
      <c r="Y22" s="3668"/>
      <c r="Z22" s="1353" t="str">
        <f>Q22</f>
        <v>楼层</v>
      </c>
      <c r="AA22" s="1350">
        <f t="shared" si="3"/>
        <v>1</v>
      </c>
      <c r="AB22" s="1350">
        <f t="shared" si="4"/>
        <v>1</v>
      </c>
      <c r="AC22" s="1350">
        <f t="shared" si="5"/>
        <v>1</v>
      </c>
    </row>
    <row r="23" spans="1:29" ht="15" hidden="1">
      <c r="A23" s="358"/>
      <c r="B23" s="594">
        <v>111</v>
      </c>
      <c r="C23" s="383"/>
      <c r="D23" s="386">
        <v>100</v>
      </c>
      <c r="E23" s="383"/>
      <c r="F23" s="412">
        <f>SUMIF(73:73,E23,74:74)-SUMIF(73:73,C23,74:74)+100</f>
        <v>100</v>
      </c>
      <c r="G23" s="383"/>
      <c r="H23" s="386">
        <f>SUMIF(73:73,G23,74:74)-SUMIF(73:73,C23,74:74)+100</f>
        <v>100</v>
      </c>
      <c r="I23" s="383"/>
      <c r="J23" s="386">
        <f>SUMIF(73:73,I23,74:74)-SUMIF(73:73,C23,74:74)+100</f>
        <v>100</v>
      </c>
      <c r="K23" s="560"/>
      <c r="L23" s="2713"/>
      <c r="M23" s="2707"/>
      <c r="N23" s="2707"/>
      <c r="O23" s="2707"/>
      <c r="P23" s="3668"/>
      <c r="Q23" s="1349">
        <f>B23</f>
        <v>111</v>
      </c>
      <c r="R23" s="703" t="s">
        <v>14</v>
      </c>
      <c r="S23" s="704">
        <f>F23</f>
        <v>100</v>
      </c>
      <c r="T23" s="703" t="s">
        <v>14</v>
      </c>
      <c r="U23" s="704">
        <f>H23</f>
        <v>100</v>
      </c>
      <c r="V23" s="703" t="s">
        <v>14</v>
      </c>
      <c r="W23" s="704">
        <f>J23</f>
        <v>100</v>
      </c>
      <c r="X23" s="1352"/>
      <c r="Y23" s="3668"/>
      <c r="Z23" s="1353">
        <f>Q23</f>
        <v>111</v>
      </c>
      <c r="AA23" s="1350">
        <f t="shared" si="3"/>
        <v>1</v>
      </c>
      <c r="AB23" s="1350">
        <f t="shared" si="4"/>
        <v>1</v>
      </c>
      <c r="AC23" s="1350">
        <f t="shared" si="5"/>
        <v>1</v>
      </c>
    </row>
    <row r="24" spans="1:29" ht="15" hidden="1">
      <c r="A24" s="358"/>
      <c r="B24" s="594">
        <v>111</v>
      </c>
      <c r="C24" s="383"/>
      <c r="D24" s="386">
        <v>100</v>
      </c>
      <c r="E24" s="383"/>
      <c r="F24" s="412">
        <f>SUMIF(75:75,E24,76:76)-SUMIF(75:75,C24,76:76)+100</f>
        <v>100</v>
      </c>
      <c r="G24" s="383"/>
      <c r="H24" s="386">
        <f>SUMIF(75:75,G24,76:76)-SUMIF(75:75,C24,76:76)+100</f>
        <v>100</v>
      </c>
      <c r="I24" s="383"/>
      <c r="J24" s="386">
        <f>SUMIF(75:75,I24,76:76)-SUMIF(75:75,C24,76:76)+100</f>
        <v>100</v>
      </c>
      <c r="K24" s="560"/>
      <c r="L24" s="2713"/>
      <c r="M24" s="2707"/>
      <c r="N24" s="2707"/>
      <c r="O24" s="2707"/>
      <c r="P24" s="3668"/>
      <c r="Q24" s="1349">
        <f t="shared" ref="Q24:Q36" si="11">B24</f>
        <v>111</v>
      </c>
      <c r="R24" s="703" t="s">
        <v>14</v>
      </c>
      <c r="S24" s="704">
        <f>F24</f>
        <v>100</v>
      </c>
      <c r="T24" s="703" t="s">
        <v>14</v>
      </c>
      <c r="U24" s="704">
        <f>H24</f>
        <v>100</v>
      </c>
      <c r="V24" s="703" t="s">
        <v>14</v>
      </c>
      <c r="W24" s="704">
        <f>J24</f>
        <v>100</v>
      </c>
      <c r="X24" s="1352"/>
      <c r="Y24" s="3668"/>
      <c r="Z24" s="1353">
        <f>Q24</f>
        <v>111</v>
      </c>
      <c r="AA24" s="1350">
        <f t="shared" si="3"/>
        <v>1</v>
      </c>
      <c r="AB24" s="1350">
        <f t="shared" si="4"/>
        <v>1</v>
      </c>
      <c r="AC24" s="1350">
        <f t="shared" si="5"/>
        <v>1</v>
      </c>
    </row>
    <row r="25" spans="1:29" s="108" customFormat="1" ht="15.75" hidden="1" thickBot="1">
      <c r="A25" s="595"/>
      <c r="B25" s="581">
        <v>111</v>
      </c>
      <c r="C25" s="388"/>
      <c r="D25" s="596">
        <v>100</v>
      </c>
      <c r="E25" s="574"/>
      <c r="F25" s="597">
        <f>SUMIF(77:77,E25,78:78)-SUMIF(77:77,C25,78:78)+100</f>
        <v>100</v>
      </c>
      <c r="G25" s="574"/>
      <c r="H25" s="596">
        <f>SUMIF(77:77,G25,78:78)-SUMIF(77:77,C25,78:78)+100</f>
        <v>100</v>
      </c>
      <c r="I25" s="574"/>
      <c r="J25" s="596">
        <f>SUMIF(77:77,I25,78:78)-SUMIF(77:77,C25,78:78)+100</f>
        <v>100</v>
      </c>
      <c r="K25" s="560"/>
      <c r="L25" s="2708"/>
      <c r="M25" s="2709"/>
      <c r="N25" s="2709"/>
      <c r="O25" s="2709"/>
      <c r="P25" s="3668"/>
      <c r="Q25" s="1340">
        <f t="shared" si="11"/>
        <v>111</v>
      </c>
      <c r="R25" s="699" t="s">
        <v>14</v>
      </c>
      <c r="S25" s="700">
        <f>F25</f>
        <v>100</v>
      </c>
      <c r="T25" s="699" t="s">
        <v>14</v>
      </c>
      <c r="U25" s="700">
        <f>H25</f>
        <v>100</v>
      </c>
      <c r="V25" s="699" t="s">
        <v>14</v>
      </c>
      <c r="W25" s="700">
        <f>J25</f>
        <v>100</v>
      </c>
      <c r="X25" s="701"/>
      <c r="Y25" s="3668"/>
      <c r="Z25" s="52">
        <f>Q25</f>
        <v>111</v>
      </c>
      <c r="AA25" s="1350">
        <f>D25/F25</f>
        <v>1</v>
      </c>
      <c r="AB25" s="1350">
        <f>D25/H25</f>
        <v>1</v>
      </c>
      <c r="AC25" s="1350">
        <f>D25/J25</f>
        <v>1</v>
      </c>
    </row>
    <row r="26" spans="1:29" ht="28.5">
      <c r="A26" s="598" t="s">
        <v>1692</v>
      </c>
      <c r="B26" s="62" t="s">
        <v>1834</v>
      </c>
      <c r="C26" s="1966" t="str">
        <f>B1</f>
        <v>车库</v>
      </c>
      <c r="D26" s="399">
        <v>100</v>
      </c>
      <c r="E26" s="398" t="s">
        <v>3326</v>
      </c>
      <c r="F26" s="400">
        <f>SUMIF(79:79,E26,80:80)-SUMIF(79:79,C26,80:80)+100</f>
        <v>100</v>
      </c>
      <c r="G26" s="398" t="s">
        <v>3326</v>
      </c>
      <c r="H26" s="399">
        <f>SUMIF(79:79,G26,80:80)-SUMIF(79:79,C26,80:80)+100</f>
        <v>100</v>
      </c>
      <c r="I26" s="398" t="s">
        <v>3326</v>
      </c>
      <c r="J26" s="399">
        <f>SUMIF(79:79,I26,80:80)-SUMIF(79:79,C26,80:80)+100</f>
        <v>100</v>
      </c>
      <c r="K26" s="559">
        <v>2</v>
      </c>
      <c r="L26" s="2713"/>
      <c r="M26" s="2707"/>
      <c r="N26" s="2707"/>
      <c r="O26" s="2707"/>
      <c r="P26" s="3669" t="s">
        <v>1694</v>
      </c>
      <c r="Q26" s="1349" t="str">
        <f t="shared" si="11"/>
        <v>配套类型</v>
      </c>
      <c r="R26" s="703" t="s">
        <v>14</v>
      </c>
      <c r="S26" s="704">
        <f t="shared" ref="S26:S36" si="12">F26</f>
        <v>100</v>
      </c>
      <c r="T26" s="703" t="s">
        <v>14</v>
      </c>
      <c r="U26" s="704">
        <f t="shared" ref="U26:U36" si="13">H26</f>
        <v>100</v>
      </c>
      <c r="V26" s="703" t="s">
        <v>14</v>
      </c>
      <c r="W26" s="704">
        <f t="shared" ref="W26:W36" si="14">J26</f>
        <v>100</v>
      </c>
      <c r="X26" s="1352"/>
      <c r="Y26" s="3670" t="s">
        <v>1694</v>
      </c>
      <c r="Z26" s="1353" t="str">
        <f t="shared" ref="Z26:Z36" si="15">Q26</f>
        <v>配套类型</v>
      </c>
      <c r="AA26" s="1350">
        <f t="shared" si="3"/>
        <v>1</v>
      </c>
      <c r="AB26" s="1350">
        <f t="shared" si="4"/>
        <v>1</v>
      </c>
      <c r="AC26" s="1350">
        <f t="shared" si="5"/>
        <v>1</v>
      </c>
    </row>
    <row r="27" spans="1:29" s="422" customFormat="1" ht="15">
      <c r="A27" s="599"/>
      <c r="B27" s="600" t="s">
        <v>1835</v>
      </c>
      <c r="C27" s="601"/>
      <c r="D27" s="127">
        <v>100</v>
      </c>
      <c r="E27" s="601"/>
      <c r="F27" s="412">
        <f>SUMIF(81:81,E27,82:82)-SUMIF(81:81,C27,82:82)+100</f>
        <v>100</v>
      </c>
      <c r="G27" s="601"/>
      <c r="H27" s="386">
        <f>SUMIF(81:81,G27,82:82)-SUMIF(81:81,C27,82:82)+100</f>
        <v>100</v>
      </c>
      <c r="I27" s="601"/>
      <c r="J27" s="386">
        <f>SUMIF(81:81,I27,82:82)-SUMIF(81:81,C27,82:82)+100</f>
        <v>100</v>
      </c>
      <c r="K27" s="560"/>
      <c r="L27" s="2712"/>
      <c r="M27" s="2714"/>
      <c r="N27" s="2714"/>
      <c r="O27" s="2714"/>
      <c r="P27" s="3670"/>
      <c r="Q27" s="705" t="str">
        <f t="shared" si="11"/>
        <v>项目停车位配比</v>
      </c>
      <c r="R27" s="706" t="s">
        <v>14</v>
      </c>
      <c r="S27" s="707">
        <f t="shared" si="12"/>
        <v>100</v>
      </c>
      <c r="T27" s="706" t="s">
        <v>14</v>
      </c>
      <c r="U27" s="707">
        <f t="shared" si="13"/>
        <v>100</v>
      </c>
      <c r="V27" s="706" t="s">
        <v>14</v>
      </c>
      <c r="W27" s="707">
        <f t="shared" si="14"/>
        <v>100</v>
      </c>
      <c r="X27" s="708"/>
      <c r="Y27" s="3670"/>
      <c r="Z27" s="709" t="str">
        <f t="shared" si="15"/>
        <v>项目停车位配比</v>
      </c>
      <c r="AA27" s="1350">
        <f t="shared" si="3"/>
        <v>1</v>
      </c>
      <c r="AB27" s="1350">
        <f t="shared" si="4"/>
        <v>1</v>
      </c>
      <c r="AC27" s="1350">
        <f t="shared" si="5"/>
        <v>1</v>
      </c>
    </row>
    <row r="28" spans="1:29" ht="15">
      <c r="A28" s="602"/>
      <c r="B28" s="600" t="s">
        <v>1836</v>
      </c>
      <c r="C28" s="411" t="s">
        <v>3877</v>
      </c>
      <c r="D28" s="386">
        <v>100</v>
      </c>
      <c r="E28" s="411" t="s">
        <v>3877</v>
      </c>
      <c r="F28" s="412">
        <f>SUMIF(83:83,E28,84:84)-SUMIF(83:83,C28,84:84)+100</f>
        <v>100</v>
      </c>
      <c r="G28" s="411" t="s">
        <v>3877</v>
      </c>
      <c r="H28" s="386">
        <f>SUMIF(83:83,G28,84:84)-SUMIF(83:83,C28,84:84)+100</f>
        <v>100</v>
      </c>
      <c r="I28" s="411" t="s">
        <v>3877</v>
      </c>
      <c r="J28" s="386">
        <f>SUMIF(83:83,I28,84:84)-SUMIF(83:83,C28,84:84)+100</f>
        <v>100</v>
      </c>
      <c r="K28" s="559">
        <v>2</v>
      </c>
      <c r="L28" s="2713"/>
      <c r="M28" s="2707"/>
      <c r="N28" s="2707"/>
      <c r="O28" s="2707"/>
      <c r="P28" s="3670"/>
      <c r="Q28" s="1349" t="str">
        <f t="shared" si="11"/>
        <v>公共部分装修</v>
      </c>
      <c r="R28" s="703" t="s">
        <v>14</v>
      </c>
      <c r="S28" s="704">
        <f t="shared" si="12"/>
        <v>100</v>
      </c>
      <c r="T28" s="703" t="s">
        <v>14</v>
      </c>
      <c r="U28" s="704">
        <f t="shared" si="13"/>
        <v>100</v>
      </c>
      <c r="V28" s="703" t="s">
        <v>14</v>
      </c>
      <c r="W28" s="704">
        <f t="shared" si="14"/>
        <v>100</v>
      </c>
      <c r="X28" s="1352"/>
      <c r="Y28" s="3670"/>
      <c r="Z28" s="1353" t="str">
        <f t="shared" si="15"/>
        <v>公共部分装修</v>
      </c>
      <c r="AA28" s="1350">
        <f t="shared" si="3"/>
        <v>1</v>
      </c>
      <c r="AB28" s="1350">
        <f t="shared" si="4"/>
        <v>1</v>
      </c>
      <c r="AC28" s="1350">
        <f t="shared" si="5"/>
        <v>1</v>
      </c>
    </row>
    <row r="29" spans="1:29" ht="15">
      <c r="A29" s="602"/>
      <c r="B29" s="600" t="s">
        <v>1837</v>
      </c>
      <c r="C29" s="425">
        <v>1</v>
      </c>
      <c r="D29" s="386">
        <v>100</v>
      </c>
      <c r="E29" s="425">
        <v>1</v>
      </c>
      <c r="F29" s="412">
        <f>LOOKUP(E29,86:86,87:87)-LOOKUP(C29,86:86,87:87)+100</f>
        <v>100</v>
      </c>
      <c r="G29" s="425">
        <v>1</v>
      </c>
      <c r="H29" s="412">
        <f>LOOKUP(G29,86:86,87:87)-LOOKUP(C29,86:86,87:87)+100</f>
        <v>100</v>
      </c>
      <c r="I29" s="425">
        <v>1</v>
      </c>
      <c r="J29" s="386">
        <f>LOOKUP(I29,86:86,87:87)-LOOKUP(C29,86:86,87:87)+100</f>
        <v>100</v>
      </c>
      <c r="K29" s="559">
        <v>1</v>
      </c>
      <c r="L29" s="2713"/>
      <c r="M29" s="2707"/>
      <c r="N29" s="2707"/>
      <c r="O29" s="2707"/>
      <c r="P29" s="3670"/>
      <c r="Q29" s="1349" t="str">
        <f t="shared" si="11"/>
        <v>成新率</v>
      </c>
      <c r="R29" s="703" t="s">
        <v>14</v>
      </c>
      <c r="S29" s="704">
        <f t="shared" si="12"/>
        <v>100</v>
      </c>
      <c r="T29" s="703" t="s">
        <v>14</v>
      </c>
      <c r="U29" s="704">
        <f t="shared" si="13"/>
        <v>100</v>
      </c>
      <c r="V29" s="703" t="s">
        <v>14</v>
      </c>
      <c r="W29" s="704">
        <f t="shared" si="14"/>
        <v>100</v>
      </c>
      <c r="X29" s="1352"/>
      <c r="Y29" s="3670"/>
      <c r="Z29" s="1353" t="str">
        <f t="shared" si="15"/>
        <v>成新率</v>
      </c>
      <c r="AA29" s="1350">
        <f t="shared" si="3"/>
        <v>1</v>
      </c>
      <c r="AB29" s="1350">
        <f t="shared" si="4"/>
        <v>1</v>
      </c>
      <c r="AC29" s="1350">
        <f t="shared" si="5"/>
        <v>1</v>
      </c>
    </row>
    <row r="30" spans="1:29" ht="15">
      <c r="A30" s="602"/>
      <c r="B30" s="600" t="s">
        <v>1838</v>
      </c>
      <c r="C30" s="603" t="s">
        <v>3878</v>
      </c>
      <c r="D30" s="386">
        <v>100</v>
      </c>
      <c r="E30" s="603" t="s">
        <v>3878</v>
      </c>
      <c r="F30" s="412">
        <f>SUMIF(88:88,E30,89:89)-SUMIF(88:88,C30,89:89)+100</f>
        <v>100</v>
      </c>
      <c r="G30" s="603" t="s">
        <v>3878</v>
      </c>
      <c r="H30" s="386">
        <f>SUMIF(88:88,E30,89:89)-SUMIF(88:88,C30,89:89)+100</f>
        <v>100</v>
      </c>
      <c r="I30" s="603" t="s">
        <v>3878</v>
      </c>
      <c r="J30" s="386">
        <f>SUMIF(88:88,E30,89:89)-SUMIF(88:88,C30,89:89)+100</f>
        <v>100</v>
      </c>
      <c r="K30" s="559">
        <v>2</v>
      </c>
      <c r="L30" s="2713"/>
      <c r="M30" s="2707"/>
      <c r="N30" s="2707"/>
      <c r="O30" s="2707"/>
      <c r="P30" s="3670"/>
      <c r="Q30" s="1349" t="str">
        <f t="shared" si="11"/>
        <v>物业等级</v>
      </c>
      <c r="R30" s="703" t="s">
        <v>14</v>
      </c>
      <c r="S30" s="704">
        <f t="shared" si="12"/>
        <v>100</v>
      </c>
      <c r="T30" s="703" t="s">
        <v>14</v>
      </c>
      <c r="U30" s="704">
        <f t="shared" si="13"/>
        <v>100</v>
      </c>
      <c r="V30" s="703" t="s">
        <v>14</v>
      </c>
      <c r="W30" s="704">
        <f t="shared" si="14"/>
        <v>100</v>
      </c>
      <c r="X30" s="1352"/>
      <c r="Y30" s="3670"/>
      <c r="Z30" s="1353" t="str">
        <f t="shared" si="15"/>
        <v>物业等级</v>
      </c>
      <c r="AA30" s="1350">
        <f t="shared" si="3"/>
        <v>1</v>
      </c>
      <c r="AB30" s="1350">
        <f t="shared" si="4"/>
        <v>1</v>
      </c>
      <c r="AC30" s="1350">
        <f t="shared" si="5"/>
        <v>1</v>
      </c>
    </row>
    <row r="31" spans="1:29" s="108" customFormat="1" ht="15">
      <c r="A31" s="604"/>
      <c r="B31" s="600" t="s">
        <v>1839</v>
      </c>
      <c r="C31" s="420">
        <f>'数据-取费表'!K8/'数据-取费表'!AH8</f>
        <v>37.519534482758317</v>
      </c>
      <c r="D31" s="127">
        <v>100</v>
      </c>
      <c r="E31" s="420">
        <f>车位售价!C2</f>
        <v>37</v>
      </c>
      <c r="F31" s="412">
        <f>LOOKUP(E31,91:91,92:92)-LOOKUP(C31,91:91,92:92)+100</f>
        <v>100</v>
      </c>
      <c r="G31" s="420">
        <f>车位售价!C3</f>
        <v>43</v>
      </c>
      <c r="H31" s="386">
        <f>LOOKUP(G31,91:91,92:92)-LOOKUP(C31,91:91,92:92)+100</f>
        <v>100</v>
      </c>
      <c r="I31" s="420">
        <f>车位售价!C4</f>
        <v>38</v>
      </c>
      <c r="J31" s="386">
        <f>LOOKUP(I31,91:91,92:92)-LOOKUP(C31,91:91,92:92)+100</f>
        <v>100</v>
      </c>
      <c r="K31" s="559">
        <v>1</v>
      </c>
      <c r="L31" s="2708"/>
      <c r="M31" s="2709"/>
      <c r="N31" s="2709"/>
      <c r="O31" s="2709"/>
      <c r="P31" s="3670"/>
      <c r="Q31" s="1340" t="str">
        <f t="shared" si="11"/>
        <v>停车位面积</v>
      </c>
      <c r="R31" s="699" t="s">
        <v>14</v>
      </c>
      <c r="S31" s="700">
        <f t="shared" si="12"/>
        <v>100</v>
      </c>
      <c r="T31" s="699" t="s">
        <v>14</v>
      </c>
      <c r="U31" s="700">
        <f t="shared" si="13"/>
        <v>100</v>
      </c>
      <c r="V31" s="699" t="s">
        <v>14</v>
      </c>
      <c r="W31" s="700">
        <f t="shared" si="14"/>
        <v>100</v>
      </c>
      <c r="X31" s="701"/>
      <c r="Y31" s="3670"/>
      <c r="Z31" s="52" t="str">
        <f t="shared" si="15"/>
        <v>停车位面积</v>
      </c>
      <c r="AA31" s="702">
        <f t="shared" si="3"/>
        <v>1</v>
      </c>
      <c r="AB31" s="702">
        <f t="shared" si="4"/>
        <v>1</v>
      </c>
      <c r="AC31" s="702">
        <f t="shared" si="5"/>
        <v>1</v>
      </c>
    </row>
    <row r="32" spans="1:29" ht="15">
      <c r="A32" s="602"/>
      <c r="B32" s="600" t="s">
        <v>1840</v>
      </c>
      <c r="C32" s="411" t="s">
        <v>3895</v>
      </c>
      <c r="D32" s="386">
        <v>100</v>
      </c>
      <c r="E32" s="411" t="s">
        <v>3895</v>
      </c>
      <c r="F32" s="412">
        <f>SUMIF(93:93,E32,94:94)-SUMIF(93:93,C32,94:94)+100</f>
        <v>100</v>
      </c>
      <c r="G32" s="411" t="s">
        <v>3895</v>
      </c>
      <c r="H32" s="386">
        <f>SUMIF(93:93,G32,94:94)-SUMIF(93:93,C32,94:94)+100</f>
        <v>100</v>
      </c>
      <c r="I32" s="411" t="s">
        <v>3895</v>
      </c>
      <c r="J32" s="386">
        <f>SUMIF(93:93,I32,94:94)-SUMIF(93:93,C32,94:94)+100</f>
        <v>100</v>
      </c>
      <c r="K32" s="559">
        <v>2</v>
      </c>
      <c r="L32" s="2713"/>
      <c r="M32" s="2707"/>
      <c r="N32" s="2707"/>
      <c r="O32" s="2707"/>
      <c r="P32" s="3670" t="s">
        <v>1694</v>
      </c>
      <c r="Q32" s="1349" t="str">
        <f t="shared" si="11"/>
        <v>车位类型</v>
      </c>
      <c r="R32" s="703" t="s">
        <v>14</v>
      </c>
      <c r="S32" s="704">
        <f t="shared" si="12"/>
        <v>100</v>
      </c>
      <c r="T32" s="703" t="s">
        <v>14</v>
      </c>
      <c r="U32" s="704">
        <f t="shared" si="13"/>
        <v>100</v>
      </c>
      <c r="V32" s="703" t="s">
        <v>14</v>
      </c>
      <c r="W32" s="704">
        <f t="shared" si="14"/>
        <v>100</v>
      </c>
      <c r="X32" s="1352"/>
      <c r="Y32" s="3670" t="s">
        <v>1694</v>
      </c>
      <c r="Z32" s="1353" t="str">
        <f t="shared" si="15"/>
        <v>车位类型</v>
      </c>
      <c r="AA32" s="1350">
        <f t="shared" si="3"/>
        <v>1</v>
      </c>
      <c r="AB32" s="1350">
        <f t="shared" si="4"/>
        <v>1</v>
      </c>
      <c r="AC32" s="1350">
        <f t="shared" si="5"/>
        <v>1</v>
      </c>
    </row>
    <row r="33" spans="1:29" ht="15.75" thickBot="1">
      <c r="A33" s="602"/>
      <c r="B33" s="600" t="s">
        <v>1841</v>
      </c>
      <c r="C33" s="411"/>
      <c r="D33" s="386">
        <v>100</v>
      </c>
      <c r="E33" s="411"/>
      <c r="F33" s="412">
        <f>SUMIF(95:95,E33,96:96)-SUMIF(95:95,C33,96:96)+100</f>
        <v>100</v>
      </c>
      <c r="G33" s="411"/>
      <c r="H33" s="386">
        <f>SUMIF(95:95,G33,96:96)-SUMIF(95:95,C33,96:96)+100</f>
        <v>100</v>
      </c>
      <c r="I33" s="411"/>
      <c r="J33" s="386">
        <f>SUMIF(95:95,I33,96:96)-SUMIF(95:95,C33,96:96)+100</f>
        <v>100</v>
      </c>
      <c r="K33" s="559"/>
      <c r="L33" s="2713"/>
      <c r="M33" s="2707"/>
      <c r="N33" s="2707"/>
      <c r="O33" s="2707"/>
      <c r="P33" s="3670"/>
      <c r="Q33" s="1349" t="str">
        <f t="shared" si="11"/>
        <v>是否直接入户</v>
      </c>
      <c r="R33" s="703" t="s">
        <v>14</v>
      </c>
      <c r="S33" s="704">
        <f t="shared" si="12"/>
        <v>100</v>
      </c>
      <c r="T33" s="703" t="s">
        <v>14</v>
      </c>
      <c r="U33" s="704">
        <f t="shared" si="13"/>
        <v>100</v>
      </c>
      <c r="V33" s="703" t="s">
        <v>14</v>
      </c>
      <c r="W33" s="704">
        <f t="shared" si="14"/>
        <v>100</v>
      </c>
      <c r="X33" s="1352"/>
      <c r="Y33" s="3670"/>
      <c r="Z33" s="1353" t="str">
        <f t="shared" si="15"/>
        <v>是否直接入户</v>
      </c>
      <c r="AA33" s="1350">
        <f t="shared" si="3"/>
        <v>1</v>
      </c>
      <c r="AB33" s="1350">
        <f t="shared" si="4"/>
        <v>1</v>
      </c>
      <c r="AC33" s="1350">
        <f t="shared" si="5"/>
        <v>1</v>
      </c>
    </row>
    <row r="34" spans="1:29" ht="15" hidden="1">
      <c r="A34" s="602"/>
      <c r="B34" s="594">
        <v>111</v>
      </c>
      <c r="C34" s="383"/>
      <c r="D34" s="386">
        <v>100</v>
      </c>
      <c r="E34" s="383"/>
      <c r="F34" s="412">
        <f>SUMIF(97:97,E34,98:98)-SUMIF(97:97,C34,98:98)+100</f>
        <v>100</v>
      </c>
      <c r="G34" s="383"/>
      <c r="H34" s="386">
        <f>SUMIF(97:97,G34,98:98)-SUMIF(97:97,C34,98:98)+100</f>
        <v>100</v>
      </c>
      <c r="I34" s="383"/>
      <c r="J34" s="386">
        <f>SUMIF(97:97,I34,98:98)-SUMIF(97:97,C34,98:98)+100</f>
        <v>100</v>
      </c>
      <c r="K34" s="560"/>
      <c r="L34" s="2713"/>
      <c r="M34" s="2707"/>
      <c r="N34" s="2707"/>
      <c r="O34" s="2707"/>
      <c r="P34" s="3670"/>
      <c r="Q34" s="1349">
        <f t="shared" si="11"/>
        <v>111</v>
      </c>
      <c r="R34" s="703" t="s">
        <v>14</v>
      </c>
      <c r="S34" s="704">
        <f t="shared" si="12"/>
        <v>100</v>
      </c>
      <c r="T34" s="703" t="s">
        <v>14</v>
      </c>
      <c r="U34" s="704">
        <f t="shared" si="13"/>
        <v>100</v>
      </c>
      <c r="V34" s="703" t="s">
        <v>14</v>
      </c>
      <c r="W34" s="704">
        <f t="shared" si="14"/>
        <v>100</v>
      </c>
      <c r="X34" s="1352"/>
      <c r="Y34" s="3670"/>
      <c r="Z34" s="1353">
        <f t="shared" si="15"/>
        <v>111</v>
      </c>
      <c r="AA34" s="1350">
        <f t="shared" si="3"/>
        <v>1</v>
      </c>
      <c r="AB34" s="1350">
        <f t="shared" si="4"/>
        <v>1</v>
      </c>
      <c r="AC34" s="1350">
        <f t="shared" si="5"/>
        <v>1</v>
      </c>
    </row>
    <row r="35" spans="1:29" s="422" customFormat="1" ht="15" hidden="1">
      <c r="A35" s="599"/>
      <c r="B35" s="594">
        <v>111</v>
      </c>
      <c r="C35" s="383"/>
      <c r="D35" s="386">
        <v>100</v>
      </c>
      <c r="E35" s="383"/>
      <c r="F35" s="412">
        <f>SUMIF(99:99,E35,100:100)-SUMIF(99:99,C35,100:100)+100</f>
        <v>100</v>
      </c>
      <c r="G35" s="383"/>
      <c r="H35" s="386">
        <f>SUMIF(99:99,G35,100:100)-SUMIF(99:99,C35,100:100)+100</f>
        <v>100</v>
      </c>
      <c r="I35" s="383"/>
      <c r="J35" s="386">
        <f>SUMIF(99:99,I35,100:100)-SUMIF(99:99,C35,100:100)+100</f>
        <v>100</v>
      </c>
      <c r="K35" s="560"/>
      <c r="L35" s="2712"/>
      <c r="M35" s="2714"/>
      <c r="N35" s="2714"/>
      <c r="O35" s="2714"/>
      <c r="P35" s="3670"/>
      <c r="Q35" s="705">
        <f t="shared" si="11"/>
        <v>111</v>
      </c>
      <c r="R35" s="706" t="s">
        <v>14</v>
      </c>
      <c r="S35" s="707">
        <f t="shared" si="12"/>
        <v>100</v>
      </c>
      <c r="T35" s="706" t="s">
        <v>14</v>
      </c>
      <c r="U35" s="707">
        <f t="shared" si="13"/>
        <v>100</v>
      </c>
      <c r="V35" s="706" t="s">
        <v>14</v>
      </c>
      <c r="W35" s="707">
        <f t="shared" si="14"/>
        <v>100</v>
      </c>
      <c r="X35" s="708"/>
      <c r="Y35" s="3670"/>
      <c r="Z35" s="709">
        <f t="shared" si="15"/>
        <v>111</v>
      </c>
      <c r="AA35" s="1350">
        <f t="shared" si="3"/>
        <v>1</v>
      </c>
      <c r="AB35" s="1350">
        <f t="shared" si="4"/>
        <v>1</v>
      </c>
      <c r="AC35" s="1350">
        <f t="shared" si="5"/>
        <v>1</v>
      </c>
    </row>
    <row r="36" spans="1:29" ht="15.75" hidden="1" thickBot="1">
      <c r="A36" s="605"/>
      <c r="B36" s="581">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0"/>
      <c r="L36" s="2713"/>
      <c r="M36" s="2707"/>
      <c r="N36" s="2707"/>
      <c r="O36" s="2707"/>
      <c r="P36" s="3670"/>
      <c r="Q36" s="1349">
        <f t="shared" si="11"/>
        <v>111</v>
      </c>
      <c r="R36" s="703" t="s">
        <v>14</v>
      </c>
      <c r="S36" s="704">
        <f t="shared" si="12"/>
        <v>100</v>
      </c>
      <c r="T36" s="703" t="s">
        <v>14</v>
      </c>
      <c r="U36" s="704">
        <f t="shared" si="13"/>
        <v>100</v>
      </c>
      <c r="V36" s="703" t="s">
        <v>14</v>
      </c>
      <c r="W36" s="704">
        <f t="shared" si="14"/>
        <v>100</v>
      </c>
      <c r="X36" s="1352"/>
      <c r="Y36" s="3670"/>
      <c r="Z36" s="1353">
        <f t="shared" si="15"/>
        <v>111</v>
      </c>
      <c r="AA36" s="1350">
        <f t="shared" si="3"/>
        <v>1</v>
      </c>
      <c r="AB36" s="1350">
        <f t="shared" si="4"/>
        <v>1</v>
      </c>
      <c r="AC36" s="1350">
        <f t="shared" si="5"/>
        <v>1</v>
      </c>
    </row>
    <row r="37" spans="1:29" ht="15">
      <c r="A37" s="428" t="s">
        <v>1842</v>
      </c>
      <c r="B37" s="1967" t="s">
        <v>3897</v>
      </c>
      <c r="C37" s="1152" t="s">
        <v>0</v>
      </c>
      <c r="D37" s="1153"/>
      <c r="E37" s="1154">
        <f>车位售价!B2</f>
        <v>495306</v>
      </c>
      <c r="F37" s="1155"/>
      <c r="G37" s="1156">
        <f>车位售价!B3</f>
        <v>408875</v>
      </c>
      <c r="H37" s="1157"/>
      <c r="I37" s="1154">
        <f>车位售价!B4</f>
        <v>426537</v>
      </c>
      <c r="J37" s="1157"/>
      <c r="K37" s="566"/>
      <c r="L37" s="2715"/>
      <c r="M37" s="2716"/>
      <c r="N37" s="2707"/>
      <c r="O37" s="2716"/>
      <c r="P37" s="3666" t="str">
        <f>A37</f>
        <v>成交单价</v>
      </c>
      <c r="Q37" s="3666"/>
      <c r="R37" s="3728">
        <f>E37</f>
        <v>495306</v>
      </c>
      <c r="S37" s="3728"/>
      <c r="T37" s="3728">
        <f>G37</f>
        <v>408875</v>
      </c>
      <c r="U37" s="3728"/>
      <c r="V37" s="3728">
        <f>I37</f>
        <v>426537</v>
      </c>
      <c r="W37" s="3728"/>
      <c r="X37" s="688"/>
      <c r="Y37" s="710"/>
      <c r="Z37" s="688"/>
      <c r="AA37" s="688"/>
      <c r="AB37" s="688"/>
      <c r="AC37" s="688"/>
    </row>
    <row r="38" spans="1:29" ht="15.75" thickBot="1">
      <c r="A38" s="435" t="s">
        <v>1843</v>
      </c>
      <c r="B38" s="436" t="str">
        <f>B37</f>
        <v>元/车位</v>
      </c>
      <c r="C38" s="1158">
        <f>R39</f>
        <v>440816</v>
      </c>
      <c r="D38" s="2311" t="s">
        <v>2136</v>
      </c>
      <c r="E38" s="1159">
        <f>R38</f>
        <v>495306</v>
      </c>
      <c r="F38" s="2312"/>
      <c r="G38" s="1158">
        <f>T38</f>
        <v>404827</v>
      </c>
      <c r="H38" s="2312"/>
      <c r="I38" s="1159">
        <f>V38</f>
        <v>422314</v>
      </c>
      <c r="J38" s="2312"/>
      <c r="K38" s="2314">
        <f>F38+H38+J38</f>
        <v>0</v>
      </c>
      <c r="L38" s="2715"/>
      <c r="M38" s="2716"/>
      <c r="N38" s="2716"/>
      <c r="O38" s="2716"/>
      <c r="P38" s="3666" t="str">
        <f>A38</f>
        <v>比较价值（元/平方米）</v>
      </c>
      <c r="Q38" s="3666"/>
      <c r="R38" s="3728">
        <f>IF(F1="售价",ROUND(PRODUCT(R37,AA7:AA36),0),ROUND(PRODUCT(R37,AA7:AA36),1))</f>
        <v>495306</v>
      </c>
      <c r="S38" s="3728"/>
      <c r="T38" s="3728">
        <f>IF(F1="售价",ROUND(PRODUCT(T37,AB7:AB36),0),ROUND(PRODUCT(T37,AB7:AB36),1))</f>
        <v>404827</v>
      </c>
      <c r="U38" s="3728"/>
      <c r="V38" s="3728">
        <f>IF(F1="售价",ROUND(PRODUCT(V37,AC7:AC36),0),ROUND(PRODUCT(V37,AC7:AC36),1))</f>
        <v>422314</v>
      </c>
      <c r="W38" s="3728"/>
      <c r="X38" s="688"/>
      <c r="Y38" s="688"/>
      <c r="Z38" s="688"/>
      <c r="AA38" s="688"/>
      <c r="AB38" s="688"/>
      <c r="AC38" s="688"/>
    </row>
    <row r="39" spans="1:29" ht="15.75" thickBot="1">
      <c r="A39" s="439" t="s">
        <v>1844</v>
      </c>
      <c r="B39" s="440"/>
      <c r="C39" s="1161">
        <f>R39</f>
        <v>440816</v>
      </c>
      <c r="D39" s="1161"/>
      <c r="E39" s="1161"/>
      <c r="F39" s="1161"/>
      <c r="G39" s="1161"/>
      <c r="H39" s="1161"/>
      <c r="I39" s="1161"/>
      <c r="J39" s="1161"/>
      <c r="K39" s="567"/>
      <c r="L39" s="2715"/>
      <c r="M39" s="2716"/>
      <c r="N39" s="2716"/>
      <c r="O39" s="2716"/>
      <c r="P39" s="3660" t="str">
        <f>A39</f>
        <v>估价对象XX用房的比较价值（楼面单价，元/平方米）</v>
      </c>
      <c r="Q39" s="3661"/>
      <c r="R39" s="3751">
        <f>IF(F1="售价",ROUND(IF(D38="简单平均",AVERAGE(R38:W38),R38*F38+T38*H38+V38*J38),0),ROUND(IF(D38="简单平均",AVERAGE(R38:V38),R38*F38+T38*H38+V38*J38),1))</f>
        <v>440816</v>
      </c>
      <c r="S39" s="3751"/>
      <c r="T39" s="3751"/>
      <c r="U39" s="3751"/>
      <c r="V39" s="3751"/>
      <c r="W39" s="3751"/>
      <c r="X39" s="688"/>
      <c r="Y39" s="688"/>
      <c r="Z39" s="688"/>
      <c r="AA39" s="688"/>
      <c r="AB39" s="688"/>
      <c r="AC39" s="688"/>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4" t="s">
        <v>1845</v>
      </c>
      <c r="D42" s="445"/>
      <c r="E42" s="446">
        <f>IF(E37&lt;E38,E38/E37-1,E37/E38-1)</f>
        <v>0</v>
      </c>
      <c r="F42" s="447" t="str">
        <f>IF(OR(E42&gt;=0.3,E42&lt;=-0.3),"超过30%","")</f>
        <v/>
      </c>
      <c r="G42" s="446">
        <f>IF(G37&lt;G38,G38/G37-1,G37/G38-1)</f>
        <v>9.9993330484380305E-3</v>
      </c>
      <c r="H42" s="447" t="str">
        <f>IF(OR(G42&gt;=0.3,G42&lt;=-0.3),"超过30%","")</f>
        <v/>
      </c>
      <c r="I42" s="446">
        <f>IF(I37&lt;I38,I38/I37-1,I37/I38-1)</f>
        <v>9.9996684931118462E-3</v>
      </c>
      <c r="J42" s="447" t="str">
        <f>IF(OR(I42&gt;=0.3,I42&lt;=-0.3),"超过30%","")</f>
        <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4" t="s">
        <v>1846</v>
      </c>
      <c r="D43" s="448"/>
      <c r="E43" s="446">
        <f>IF(E38&lt;G38,G38/E38-1,E38/G38-1)</f>
        <v>0.22350040881660571</v>
      </c>
      <c r="F43" s="447" t="str">
        <f>IF(OR(E43&gt;=0.2,E43&lt;=-0.2),"超过20%","")</f>
        <v>超过20%</v>
      </c>
      <c r="G43" s="446">
        <f>IF(G38&lt;I38,I38/G38-1,G38/I38-1)</f>
        <v>4.3196229500502614E-2</v>
      </c>
      <c r="H43" s="447" t="str">
        <f>IF(OR(G43&gt;=0.2,G43&lt;=-0.2),"超过20%","")</f>
        <v/>
      </c>
      <c r="I43" s="446">
        <f>IF(I38&lt;E38,E38/I38-1,I38/E38-1)</f>
        <v>0.1728382199027263</v>
      </c>
      <c r="J43" s="447" t="str">
        <f>IF(OR(I43&gt;=0.2,I43&lt;=-0.2),"超过20%","")</f>
        <v/>
      </c>
      <c r="K43" s="2721"/>
      <c r="L43" s="2717"/>
      <c r="M43" s="2716"/>
      <c r="N43" s="2716"/>
      <c r="O43" s="2716"/>
      <c r="P43" s="2747"/>
      <c r="Q43" s="2716"/>
      <c r="R43" s="2716"/>
      <c r="S43" s="2716"/>
      <c r="T43" s="2716"/>
      <c r="U43" s="2716"/>
      <c r="V43" s="2716"/>
      <c r="W43" s="2716"/>
      <c r="X43" s="2716"/>
      <c r="Y43" s="2716"/>
      <c r="Z43" s="2716"/>
      <c r="AA43" s="2716"/>
      <c r="AB43" s="2716"/>
      <c r="AC43" s="2716"/>
    </row>
    <row r="44" spans="1:29" s="449" customFormat="1" ht="13.5" customHeight="1">
      <c r="A44" s="2719"/>
      <c r="B44" s="2719"/>
      <c r="C44" s="444" t="s">
        <v>1847</v>
      </c>
      <c r="D44" s="448"/>
      <c r="E44" s="446">
        <f>IF(E37&lt;G37,G37/E37-1,E37/G37-1)</f>
        <v>0.21138734332008569</v>
      </c>
      <c r="F44" s="447" t="str">
        <f>IF(OR(E44&gt;=0.3,E44&lt;=-0.3),"超过30%","")</f>
        <v/>
      </c>
      <c r="G44" s="446">
        <f>IF(G37&lt;I37,I37/G37-1,G37/I37-1)</f>
        <v>4.3196575970651185E-2</v>
      </c>
      <c r="H44" s="447" t="str">
        <f>IF(OR(G44&gt;=0.3,G44&lt;=-0.3),"超过30%","")</f>
        <v/>
      </c>
      <c r="I44" s="446">
        <f>IF(I37&lt;E37,E37/I37-1,I37/E37-1)</f>
        <v>0.16122634144282921</v>
      </c>
      <c r="J44" s="447" t="str">
        <f>IF(OR(I44&gt;=0.3,I44&lt;=-0.3),"超过30%","")</f>
        <v/>
      </c>
      <c r="K44" s="2724"/>
      <c r="L44" s="2718"/>
      <c r="M44" s="2719"/>
      <c r="N44" s="2719"/>
      <c r="O44" s="2719"/>
      <c r="P44" s="2748"/>
      <c r="Q44" s="2719"/>
      <c r="R44" s="2719"/>
      <c r="S44" s="2719"/>
      <c r="T44" s="2719"/>
      <c r="U44" s="2719"/>
      <c r="V44" s="2719"/>
      <c r="W44" s="2719"/>
      <c r="X44" s="2719"/>
      <c r="Y44" s="2719"/>
      <c r="Z44" s="2719"/>
      <c r="AA44" s="2719"/>
      <c r="AB44" s="2719"/>
      <c r="AC44" s="2719"/>
    </row>
    <row r="45" spans="1:29" s="449"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4" t="s">
        <v>1848</v>
      </c>
      <c r="B47" s="925"/>
      <c r="C47" s="938"/>
      <c r="D47" s="938"/>
      <c r="E47" s="938"/>
      <c r="F47" s="1165"/>
      <c r="G47" s="1165"/>
      <c r="H47" s="938"/>
      <c r="I47" s="938"/>
      <c r="J47" s="938"/>
      <c r="K47" s="939"/>
      <c r="L47" s="940"/>
      <c r="M47" s="938"/>
      <c r="N47" s="2760"/>
      <c r="O47" s="2760"/>
      <c r="P47" s="2749"/>
      <c r="Q47" s="2730"/>
      <c r="R47" s="2716"/>
      <c r="S47" s="2716"/>
      <c r="T47" s="2716"/>
      <c r="U47" s="2716"/>
      <c r="V47" s="2716"/>
      <c r="W47" s="2716"/>
      <c r="X47" s="2716"/>
      <c r="Y47" s="2716"/>
      <c r="Z47" s="2716"/>
      <c r="AA47" s="2716"/>
      <c r="AB47" s="2716"/>
      <c r="AC47" s="2716"/>
    </row>
    <row r="48" spans="1:29" s="455" customFormat="1" ht="15">
      <c r="A48" s="452" t="s">
        <v>1849</v>
      </c>
      <c r="B48" s="453"/>
      <c r="C48" s="1181" t="str">
        <f>YEAR(C7)&amp;"-"&amp;MONTH(C7)</f>
        <v>2024-10</v>
      </c>
      <c r="D48" s="1182">
        <f>EDATE(C48,-1)</f>
        <v>45536</v>
      </c>
      <c r="E48" s="1182">
        <f t="shared" ref="E48:O48" si="16">EDATE(D48,-1)</f>
        <v>45505</v>
      </c>
      <c r="F48" s="1182">
        <f t="shared" si="16"/>
        <v>45474</v>
      </c>
      <c r="G48" s="1182">
        <f t="shared" si="16"/>
        <v>45444</v>
      </c>
      <c r="H48" s="1182">
        <f t="shared" si="16"/>
        <v>45413</v>
      </c>
      <c r="I48" s="1182">
        <f t="shared" si="16"/>
        <v>45383</v>
      </c>
      <c r="J48" s="1182">
        <f t="shared" si="16"/>
        <v>45352</v>
      </c>
      <c r="K48" s="1182">
        <f t="shared" si="16"/>
        <v>45323</v>
      </c>
      <c r="L48" s="1182">
        <f t="shared" si="16"/>
        <v>45292</v>
      </c>
      <c r="M48" s="1182">
        <f t="shared" si="16"/>
        <v>45261</v>
      </c>
      <c r="N48" s="1182">
        <f t="shared" si="16"/>
        <v>45231</v>
      </c>
      <c r="O48" s="1182">
        <f t="shared" si="16"/>
        <v>45200</v>
      </c>
      <c r="P48" s="2750"/>
      <c r="Q48" s="2732"/>
      <c r="R48" s="2732"/>
      <c r="S48" s="2732"/>
      <c r="T48" s="2732"/>
      <c r="U48" s="2732"/>
      <c r="V48" s="2732"/>
      <c r="W48" s="2732"/>
      <c r="X48" s="2732"/>
      <c r="Y48" s="2732"/>
      <c r="Z48" s="2732"/>
      <c r="AA48" s="2732"/>
      <c r="AB48" s="2732"/>
      <c r="AC48" s="2732"/>
    </row>
    <row r="49" spans="1:29" s="108" customFormat="1" ht="15">
      <c r="A49" s="456"/>
      <c r="B49" s="457"/>
      <c r="C49" s="1175">
        <v>100</v>
      </c>
      <c r="D49" s="459"/>
      <c r="E49" s="459"/>
      <c r="F49" s="459"/>
      <c r="G49" s="459"/>
      <c r="H49" s="459"/>
      <c r="I49" s="459"/>
      <c r="J49" s="459"/>
      <c r="K49" s="459"/>
      <c r="L49" s="459"/>
      <c r="M49" s="460"/>
      <c r="N49" s="459"/>
      <c r="O49" s="460"/>
      <c r="P49" s="2751"/>
      <c r="Q49" s="2652"/>
      <c r="R49" s="2652"/>
      <c r="S49" s="2652"/>
      <c r="T49" s="2652"/>
      <c r="U49" s="2652"/>
      <c r="V49" s="2652"/>
      <c r="W49" s="2652"/>
      <c r="X49" s="2652"/>
      <c r="Y49" s="2652"/>
      <c r="Z49" s="2652"/>
      <c r="AA49" s="2652"/>
      <c r="AB49" s="2652"/>
      <c r="AC49" s="2652"/>
    </row>
    <row r="50" spans="1:29" s="108" customFormat="1" ht="15.75" thickBot="1">
      <c r="A50" s="462" t="s">
        <v>1714</v>
      </c>
      <c r="B50" s="463"/>
      <c r="C50" s="464"/>
      <c r="D50" s="465"/>
      <c r="E50" s="465"/>
      <c r="F50" s="465"/>
      <c r="G50" s="465"/>
      <c r="H50" s="465"/>
      <c r="I50" s="465"/>
      <c r="J50" s="465"/>
      <c r="K50" s="465"/>
      <c r="L50" s="465"/>
      <c r="M50" s="466"/>
      <c r="N50" s="465"/>
      <c r="O50" s="466"/>
      <c r="P50" s="2751"/>
      <c r="Q50" s="2730"/>
      <c r="R50" s="2652"/>
      <c r="S50" s="2652"/>
      <c r="T50" s="2652"/>
      <c r="U50" s="2652"/>
      <c r="V50" s="2652"/>
      <c r="W50" s="2652"/>
      <c r="X50" s="2652"/>
      <c r="Y50" s="2652"/>
      <c r="Z50" s="2652"/>
      <c r="AA50" s="2652"/>
      <c r="AB50" s="2652"/>
      <c r="AC50" s="2652"/>
    </row>
    <row r="51" spans="1:29" s="108" customFormat="1" ht="15">
      <c r="A51" s="468" t="s">
        <v>1679</v>
      </c>
      <c r="B51" s="457"/>
      <c r="C51" s="469" t="s">
        <v>1774</v>
      </c>
      <c r="D51" s="470"/>
      <c r="E51" s="470"/>
      <c r="F51" s="470"/>
      <c r="G51" s="470"/>
      <c r="H51" s="470"/>
      <c r="I51" s="470"/>
      <c r="J51" s="470"/>
      <c r="K51" s="470"/>
      <c r="L51" s="471"/>
      <c r="M51" s="472"/>
      <c r="N51" s="2743"/>
      <c r="O51" s="2743"/>
      <c r="P51" s="2752"/>
      <c r="Q51" s="2730"/>
      <c r="R51" s="2652"/>
      <c r="S51" s="2652"/>
      <c r="T51" s="2652"/>
      <c r="U51" s="2652"/>
      <c r="V51" s="2652"/>
      <c r="W51" s="2652"/>
      <c r="X51" s="2652"/>
      <c r="Y51" s="2652"/>
      <c r="Z51" s="2652"/>
      <c r="AA51" s="2652"/>
      <c r="AB51" s="2652"/>
      <c r="AC51" s="2652"/>
    </row>
    <row r="52" spans="1:29" s="108" customFormat="1" ht="15.75" thickBot="1">
      <c r="A52" s="468"/>
      <c r="B52" s="457"/>
      <c r="C52" s="585">
        <v>100</v>
      </c>
      <c r="D52" s="459"/>
      <c r="E52" s="459"/>
      <c r="F52" s="459"/>
      <c r="G52" s="459"/>
      <c r="H52" s="459"/>
      <c r="I52" s="459"/>
      <c r="J52" s="459"/>
      <c r="K52" s="459"/>
      <c r="L52" s="459"/>
      <c r="M52" s="461"/>
      <c r="N52" s="2743"/>
      <c r="O52" s="2743"/>
      <c r="P52" s="2751"/>
      <c r="Q52" s="2730"/>
      <c r="R52" s="2652"/>
      <c r="S52" s="2652"/>
      <c r="T52" s="2652"/>
      <c r="U52" s="2652"/>
      <c r="V52" s="2652"/>
      <c r="W52" s="2652"/>
      <c r="X52" s="2652"/>
      <c r="Y52" s="2652"/>
      <c r="Z52" s="2652"/>
      <c r="AA52" s="2652"/>
      <c r="AB52" s="2652"/>
      <c r="AC52" s="2652"/>
    </row>
    <row r="53" spans="1:29">
      <c r="A53" s="474" t="s">
        <v>1717</v>
      </c>
      <c r="B53" s="475" t="s">
        <v>1683</v>
      </c>
      <c r="C53" s="476" t="str">
        <f>C9</f>
        <v>车位</v>
      </c>
      <c r="D53" s="477"/>
      <c r="E53" s="477"/>
      <c r="F53" s="477"/>
      <c r="G53" s="477"/>
      <c r="H53" s="477"/>
      <c r="I53" s="477"/>
      <c r="J53" s="477"/>
      <c r="K53" s="478"/>
      <c r="L53" s="479"/>
      <c r="M53" s="480"/>
      <c r="N53" s="2744"/>
      <c r="O53" s="2744"/>
      <c r="P53" s="2753"/>
      <c r="Q53" s="2730"/>
      <c r="R53" s="2716"/>
      <c r="S53" s="2716"/>
      <c r="T53" s="2716"/>
      <c r="U53" s="2716"/>
      <c r="V53" s="2716"/>
      <c r="W53" s="2716"/>
      <c r="X53" s="2716"/>
      <c r="Y53" s="2716"/>
      <c r="Z53" s="2716"/>
      <c r="AA53" s="2716"/>
      <c r="AB53" s="2716"/>
      <c r="AC53" s="2716"/>
    </row>
    <row r="54" spans="1:29" ht="15.75" thickBot="1">
      <c r="A54" s="481"/>
      <c r="B54" s="482"/>
      <c r="C54" s="483">
        <v>100</v>
      </c>
      <c r="D54" s="483"/>
      <c r="E54" s="483"/>
      <c r="F54" s="483"/>
      <c r="G54" s="483"/>
      <c r="H54" s="483"/>
      <c r="I54" s="483"/>
      <c r="J54" s="483"/>
      <c r="K54" s="483"/>
      <c r="L54" s="483"/>
      <c r="M54" s="484"/>
      <c r="N54" s="2745"/>
      <c r="O54" s="2745"/>
      <c r="P54" s="2753"/>
      <c r="Q54" s="2730"/>
      <c r="R54" s="2716"/>
      <c r="S54" s="2716"/>
      <c r="T54" s="2716"/>
      <c r="U54" s="2716"/>
      <c r="V54" s="2716"/>
      <c r="W54" s="2716"/>
      <c r="X54" s="2716"/>
      <c r="Y54" s="2716"/>
      <c r="Z54" s="2716"/>
      <c r="AA54" s="2716"/>
      <c r="AB54" s="2716"/>
      <c r="AC54" s="2716"/>
    </row>
    <row r="55" spans="1:29" ht="27.75" thickTop="1">
      <c r="A55" s="481"/>
      <c r="B55" s="485" t="s">
        <v>1686</v>
      </c>
      <c r="C55" s="530"/>
      <c r="D55" s="530"/>
      <c r="E55" s="530"/>
      <c r="F55" s="530"/>
      <c r="G55" s="530"/>
      <c r="H55" s="530"/>
      <c r="I55" s="530"/>
      <c r="J55" s="530"/>
      <c r="K55" s="531"/>
      <c r="L55" s="532"/>
      <c r="M55" s="533"/>
      <c r="N55" s="2744"/>
      <c r="O55" s="2744"/>
      <c r="P55" s="2753"/>
      <c r="Q55" s="2730"/>
      <c r="R55" s="2716"/>
      <c r="S55" s="2716"/>
      <c r="T55" s="2716"/>
      <c r="U55" s="2716"/>
      <c r="V55" s="2716"/>
      <c r="W55" s="2716"/>
      <c r="X55" s="2716"/>
      <c r="Y55" s="2716"/>
      <c r="Z55" s="2716"/>
      <c r="AA55" s="2716"/>
      <c r="AB55" s="2716"/>
      <c r="AC55" s="2716"/>
    </row>
    <row r="56" spans="1:29" ht="15.75" thickBot="1">
      <c r="A56" s="481"/>
      <c r="B56" s="490"/>
      <c r="C56" s="483"/>
      <c r="D56" s="483"/>
      <c r="E56" s="483"/>
      <c r="F56" s="483"/>
      <c r="G56" s="483"/>
      <c r="H56" s="483"/>
      <c r="I56" s="483"/>
      <c r="J56" s="483"/>
      <c r="K56" s="483"/>
      <c r="L56" s="483"/>
      <c r="M56" s="484"/>
      <c r="N56" s="2745"/>
      <c r="O56" s="2745"/>
      <c r="P56" s="2753"/>
      <c r="Q56" s="2730"/>
      <c r="R56" s="2716"/>
      <c r="S56" s="2716"/>
      <c r="T56" s="2716"/>
      <c r="U56" s="2716"/>
      <c r="V56" s="2716"/>
      <c r="W56" s="2716"/>
      <c r="X56" s="2716"/>
      <c r="Y56" s="2716"/>
      <c r="Z56" s="2716"/>
      <c r="AA56" s="2716"/>
      <c r="AB56" s="2716"/>
      <c r="AC56" s="2716"/>
    </row>
    <row r="57" spans="1:29" ht="15.75" thickTop="1">
      <c r="A57" s="481"/>
      <c r="B57" s="606">
        <f>B11</f>
        <v>111</v>
      </c>
      <c r="C57" s="496"/>
      <c r="D57" s="496"/>
      <c r="E57" s="496"/>
      <c r="F57" s="496"/>
      <c r="G57" s="496"/>
      <c r="H57" s="496"/>
      <c r="I57" s="496"/>
      <c r="J57" s="496"/>
      <c r="K57" s="497"/>
      <c r="L57" s="498"/>
      <c r="M57" s="499"/>
      <c r="N57" s="2744"/>
      <c r="O57" s="2744"/>
      <c r="P57" s="2753"/>
      <c r="Q57" s="2730"/>
      <c r="R57" s="2716"/>
      <c r="S57" s="2716"/>
      <c r="T57" s="2716"/>
      <c r="U57" s="2716"/>
      <c r="V57" s="2716"/>
      <c r="W57" s="2716"/>
      <c r="X57" s="2716"/>
      <c r="Y57" s="2716"/>
      <c r="Z57" s="2716"/>
      <c r="AA57" s="2716"/>
      <c r="AB57" s="2716"/>
      <c r="AC57" s="2716"/>
    </row>
    <row r="58" spans="1:29" ht="15.75" thickBot="1">
      <c r="A58" s="481"/>
      <c r="B58" s="482"/>
      <c r="C58" s="507"/>
      <c r="D58" s="483"/>
      <c r="E58" s="483"/>
      <c r="F58" s="483"/>
      <c r="G58" s="483"/>
      <c r="H58" s="483"/>
      <c r="I58" s="483"/>
      <c r="J58" s="483"/>
      <c r="K58" s="483"/>
      <c r="L58" s="483"/>
      <c r="M58" s="484"/>
      <c r="N58" s="2745"/>
      <c r="O58" s="2745"/>
      <c r="P58" s="2753"/>
      <c r="Q58" s="2730"/>
      <c r="R58" s="2716"/>
      <c r="S58" s="2716"/>
      <c r="T58" s="2716"/>
      <c r="U58" s="2716"/>
      <c r="V58" s="2716"/>
      <c r="W58" s="2716"/>
      <c r="X58" s="2716"/>
      <c r="Y58" s="2716"/>
      <c r="Z58" s="2716"/>
      <c r="AA58" s="2716"/>
      <c r="AB58" s="2716"/>
      <c r="AC58" s="2716"/>
    </row>
    <row r="59" spans="1:29" s="422" customFormat="1" ht="15.75" thickTop="1">
      <c r="A59" s="500"/>
      <c r="B59" s="485">
        <f>B12</f>
        <v>111</v>
      </c>
      <c r="C59" s="496"/>
      <c r="D59" s="496"/>
      <c r="E59" s="496"/>
      <c r="F59" s="496"/>
      <c r="G59" s="501"/>
      <c r="H59" s="502"/>
      <c r="I59" s="502"/>
      <c r="J59" s="502"/>
      <c r="K59" s="502"/>
      <c r="L59" s="503"/>
      <c r="M59" s="504"/>
      <c r="N59" s="2746"/>
      <c r="O59" s="2746"/>
      <c r="P59" s="2754"/>
      <c r="Q59" s="2737"/>
      <c r="R59" s="2738"/>
      <c r="S59" s="2738"/>
      <c r="T59" s="2738"/>
      <c r="U59" s="2738"/>
      <c r="V59" s="2738"/>
      <c r="W59" s="2738"/>
      <c r="X59" s="2738"/>
      <c r="Y59" s="2738"/>
      <c r="Z59" s="2738"/>
      <c r="AA59" s="2738"/>
      <c r="AB59" s="2738"/>
      <c r="AC59" s="2738"/>
    </row>
    <row r="60" spans="1:29" s="422" customFormat="1" ht="15.75" thickBot="1">
      <c r="A60" s="500"/>
      <c r="B60" s="490"/>
      <c r="C60" s="507"/>
      <c r="D60" s="483"/>
      <c r="E60" s="483"/>
      <c r="F60" s="483"/>
      <c r="G60" s="483"/>
      <c r="H60" s="483"/>
      <c r="I60" s="483"/>
      <c r="J60" s="483"/>
      <c r="K60" s="483"/>
      <c r="L60" s="483"/>
      <c r="M60" s="484"/>
      <c r="N60" s="2745"/>
      <c r="O60" s="2745"/>
      <c r="P60" s="2754"/>
      <c r="Q60" s="2737"/>
      <c r="R60" s="2738"/>
      <c r="S60" s="2738"/>
      <c r="T60" s="2738"/>
      <c r="U60" s="2738"/>
      <c r="V60" s="2738"/>
      <c r="W60" s="2738"/>
      <c r="X60" s="2738"/>
      <c r="Y60" s="2738"/>
      <c r="Z60" s="2738"/>
      <c r="AA60" s="2738"/>
      <c r="AB60" s="2738"/>
      <c r="AC60" s="2738"/>
    </row>
    <row r="61" spans="1:29" s="422" customFormat="1" ht="15.75" thickTop="1">
      <c r="A61" s="500"/>
      <c r="B61" s="485">
        <f>B13</f>
        <v>111</v>
      </c>
      <c r="C61" s="501"/>
      <c r="D61" s="501"/>
      <c r="E61" s="501"/>
      <c r="F61" s="501"/>
      <c r="G61" s="501"/>
      <c r="H61" s="502"/>
      <c r="I61" s="502"/>
      <c r="J61" s="502"/>
      <c r="K61" s="502"/>
      <c r="L61" s="503"/>
      <c r="M61" s="504"/>
      <c r="N61" s="2746"/>
      <c r="O61" s="2746"/>
      <c r="P61" s="2755"/>
      <c r="Q61" s="2740"/>
      <c r="R61" s="2738"/>
      <c r="S61" s="2738"/>
      <c r="T61" s="2738"/>
      <c r="U61" s="2738"/>
      <c r="V61" s="2738"/>
      <c r="W61" s="2738"/>
      <c r="X61" s="2738"/>
      <c r="Y61" s="2738"/>
      <c r="Z61" s="2738"/>
      <c r="AA61" s="2738"/>
      <c r="AB61" s="2738"/>
      <c r="AC61" s="2738"/>
    </row>
    <row r="62" spans="1:29" s="422" customFormat="1" ht="15.75" thickBot="1">
      <c r="A62" s="500"/>
      <c r="B62" s="490"/>
      <c r="C62" s="507"/>
      <c r="D62" s="507"/>
      <c r="E62" s="507"/>
      <c r="F62" s="507"/>
      <c r="G62" s="507"/>
      <c r="H62" s="509"/>
      <c r="I62" s="509"/>
      <c r="J62" s="509"/>
      <c r="K62" s="509"/>
      <c r="L62" s="509"/>
      <c r="M62" s="510"/>
      <c r="N62" s="2746"/>
      <c r="O62" s="2746"/>
      <c r="P62" s="2754"/>
      <c r="Q62" s="2737"/>
      <c r="R62" s="2738"/>
      <c r="S62" s="2738"/>
      <c r="T62" s="2738"/>
      <c r="U62" s="2738"/>
      <c r="V62" s="2738"/>
      <c r="W62" s="2738"/>
      <c r="X62" s="2738"/>
      <c r="Y62" s="2738"/>
      <c r="Z62" s="2738"/>
      <c r="AA62" s="2738"/>
      <c r="AB62" s="2738"/>
      <c r="AC62" s="2738"/>
    </row>
    <row r="63" spans="1:29" ht="15" thickTop="1">
      <c r="A63" s="474" t="s">
        <v>1688</v>
      </c>
      <c r="B63" s="475" t="s">
        <v>1724</v>
      </c>
      <c r="C63" s="520" t="s">
        <v>1719</v>
      </c>
      <c r="D63" s="520" t="s">
        <v>1720</v>
      </c>
      <c r="E63" s="520" t="s">
        <v>1721</v>
      </c>
      <c r="F63" s="520" t="s">
        <v>1722</v>
      </c>
      <c r="G63" s="520" t="s">
        <v>1723</v>
      </c>
      <c r="H63" s="476"/>
      <c r="I63" s="476"/>
      <c r="J63" s="476"/>
      <c r="K63" s="521"/>
      <c r="L63" s="522"/>
      <c r="M63" s="523"/>
      <c r="N63" s="2744"/>
      <c r="O63" s="2744"/>
      <c r="P63" s="2757"/>
      <c r="Q63" s="2730"/>
      <c r="R63" s="2716"/>
      <c r="S63" s="2716"/>
      <c r="T63" s="2716"/>
      <c r="U63" s="2716"/>
      <c r="V63" s="2716"/>
      <c r="W63" s="2716"/>
      <c r="X63" s="2716"/>
      <c r="Y63" s="2716"/>
      <c r="Z63" s="2716"/>
      <c r="AA63" s="2716"/>
      <c r="AB63" s="2716"/>
      <c r="AC63" s="2716"/>
    </row>
    <row r="64" spans="1:29" ht="15.75" thickBot="1">
      <c r="A64" s="481"/>
      <c r="B64" s="490"/>
      <c r="C64" s="491">
        <v>100</v>
      </c>
      <c r="D64" s="491">
        <f>C64-$K14</f>
        <v>98</v>
      </c>
      <c r="E64" s="491">
        <f>D64-$K14</f>
        <v>96</v>
      </c>
      <c r="F64" s="491">
        <f>E64-$K14</f>
        <v>94</v>
      </c>
      <c r="G64" s="491">
        <f>F64-$K14</f>
        <v>92</v>
      </c>
      <c r="H64" s="491"/>
      <c r="I64" s="491"/>
      <c r="J64" s="491"/>
      <c r="K64" s="491"/>
      <c r="L64" s="491"/>
      <c r="M64" s="492"/>
      <c r="N64" s="2745"/>
      <c r="O64" s="2745"/>
      <c r="P64" s="2753"/>
      <c r="Q64" s="2730"/>
      <c r="R64" s="2716"/>
      <c r="S64" s="2716"/>
      <c r="T64" s="2716"/>
      <c r="U64" s="2716"/>
      <c r="V64" s="2716"/>
      <c r="W64" s="2716"/>
      <c r="X64" s="2716"/>
      <c r="Y64" s="2716"/>
      <c r="Z64" s="2716"/>
      <c r="AA64" s="2716"/>
      <c r="AB64" s="2716"/>
      <c r="AC64" s="2716"/>
    </row>
    <row r="65" spans="1:29" ht="15.75" thickTop="1">
      <c r="A65" s="481"/>
      <c r="B65" s="485" t="s">
        <v>1725</v>
      </c>
      <c r="C65" s="525" t="s">
        <v>1719</v>
      </c>
      <c r="D65" s="525" t="s">
        <v>1720</v>
      </c>
      <c r="E65" s="525" t="s">
        <v>1721</v>
      </c>
      <c r="F65" s="525" t="s">
        <v>1722</v>
      </c>
      <c r="G65" s="525" t="s">
        <v>1723</v>
      </c>
      <c r="H65" s="486"/>
      <c r="I65" s="486"/>
      <c r="J65" s="486"/>
      <c r="K65" s="487"/>
      <c r="L65" s="488"/>
      <c r="M65" s="489"/>
      <c r="N65" s="2744"/>
      <c r="O65" s="2744"/>
      <c r="P65" s="2753"/>
      <c r="Q65" s="2730"/>
      <c r="R65" s="2716"/>
      <c r="S65" s="2716"/>
      <c r="T65" s="2716"/>
      <c r="U65" s="2716"/>
      <c r="V65" s="2716"/>
      <c r="W65" s="2716"/>
      <c r="X65" s="2716"/>
      <c r="Y65" s="2716"/>
      <c r="Z65" s="2716"/>
      <c r="AA65" s="2716"/>
      <c r="AB65" s="2716"/>
      <c r="AC65" s="2716"/>
    </row>
    <row r="66" spans="1:29" ht="15.75" thickBot="1">
      <c r="A66" s="481"/>
      <c r="B66" s="490"/>
      <c r="C66" s="491">
        <v>100</v>
      </c>
      <c r="D66" s="491">
        <f>C66-$K16</f>
        <v>98</v>
      </c>
      <c r="E66" s="491">
        <f>D66-$K16</f>
        <v>96</v>
      </c>
      <c r="F66" s="491">
        <f>E66-$K16</f>
        <v>94</v>
      </c>
      <c r="G66" s="491">
        <f>F66-$K16</f>
        <v>92</v>
      </c>
      <c r="H66" s="491"/>
      <c r="I66" s="491"/>
      <c r="J66" s="491"/>
      <c r="K66" s="491"/>
      <c r="L66" s="491"/>
      <c r="M66" s="492"/>
      <c r="N66" s="2745"/>
      <c r="O66" s="2745"/>
      <c r="P66" s="2753"/>
      <c r="Q66" s="2730"/>
      <c r="R66" s="2716"/>
      <c r="S66" s="2716"/>
      <c r="T66" s="2716"/>
      <c r="U66" s="2716"/>
      <c r="V66" s="2716"/>
      <c r="W66" s="2716"/>
      <c r="X66" s="2716"/>
      <c r="Y66" s="2716"/>
      <c r="Z66" s="2716"/>
      <c r="AA66" s="2716"/>
      <c r="AB66" s="2716"/>
      <c r="AC66" s="2716"/>
    </row>
    <row r="67" spans="1:29" ht="15.75" thickTop="1">
      <c r="A67" s="481"/>
      <c r="B67" s="493" t="s">
        <v>1811</v>
      </c>
      <c r="C67" s="606" t="s">
        <v>1797</v>
      </c>
      <c r="D67" s="606" t="s">
        <v>1798</v>
      </c>
      <c r="E67" s="606" t="s">
        <v>1799</v>
      </c>
      <c r="F67" s="606" t="s">
        <v>1800</v>
      </c>
      <c r="G67" s="606" t="s">
        <v>1801</v>
      </c>
      <c r="H67" s="486"/>
      <c r="I67" s="486"/>
      <c r="J67" s="486"/>
      <c r="K67" s="486"/>
      <c r="L67" s="486"/>
      <c r="M67" s="1127"/>
      <c r="N67" s="2745"/>
      <c r="O67" s="2745"/>
      <c r="P67" s="2753"/>
      <c r="Q67" s="2730"/>
      <c r="R67" s="2716"/>
      <c r="S67" s="2716"/>
      <c r="T67" s="2716"/>
      <c r="U67" s="2716"/>
      <c r="V67" s="2716"/>
      <c r="W67" s="2716"/>
      <c r="X67" s="2716"/>
      <c r="Y67" s="2716"/>
      <c r="Z67" s="2716"/>
      <c r="AA67" s="2716"/>
      <c r="AB67" s="2716"/>
      <c r="AC67" s="2716"/>
    </row>
    <row r="68" spans="1:29" ht="15.75" thickBot="1">
      <c r="A68" s="481"/>
      <c r="B68" s="493"/>
      <c r="C68" s="491">
        <v>100</v>
      </c>
      <c r="D68" s="491">
        <f>C68-$K18</f>
        <v>99</v>
      </c>
      <c r="E68" s="491">
        <f>D68-$K18</f>
        <v>98</v>
      </c>
      <c r="F68" s="491">
        <f>E68-$K18</f>
        <v>97</v>
      </c>
      <c r="G68" s="491">
        <f>F68-$K18</f>
        <v>96</v>
      </c>
      <c r="H68" s="606"/>
      <c r="I68" s="606"/>
      <c r="J68" s="606"/>
      <c r="K68" s="606"/>
      <c r="L68" s="606"/>
      <c r="M68" s="401"/>
      <c r="N68" s="2745"/>
      <c r="O68" s="2745"/>
      <c r="P68" s="2753"/>
      <c r="Q68" s="2730"/>
      <c r="R68" s="2716"/>
      <c r="S68" s="2716"/>
      <c r="T68" s="2716"/>
      <c r="U68" s="2716"/>
      <c r="V68" s="2716"/>
      <c r="W68" s="2716"/>
      <c r="X68" s="2716"/>
      <c r="Y68" s="2716"/>
      <c r="Z68" s="2716"/>
      <c r="AA68" s="2716"/>
      <c r="AB68" s="2716"/>
      <c r="AC68" s="2716"/>
    </row>
    <row r="69" spans="1:29" ht="15.75" thickTop="1">
      <c r="A69" s="481"/>
      <c r="B69" s="485" t="s">
        <v>1731</v>
      </c>
      <c r="C69" s="525" t="s">
        <v>1719</v>
      </c>
      <c r="D69" s="525" t="s">
        <v>1720</v>
      </c>
      <c r="E69" s="525" t="s">
        <v>1721</v>
      </c>
      <c r="F69" s="525" t="s">
        <v>1722</v>
      </c>
      <c r="G69" s="525" t="s">
        <v>1723</v>
      </c>
      <c r="H69" s="486"/>
      <c r="I69" s="486"/>
      <c r="J69" s="486"/>
      <c r="K69" s="487"/>
      <c r="L69" s="488"/>
      <c r="M69" s="489"/>
      <c r="N69" s="2744"/>
      <c r="O69" s="2744"/>
      <c r="P69" s="2753"/>
      <c r="Q69" s="2730"/>
      <c r="R69" s="2716"/>
      <c r="S69" s="2716"/>
      <c r="T69" s="2716"/>
      <c r="U69" s="2716"/>
      <c r="V69" s="2716"/>
      <c r="W69" s="2716"/>
      <c r="X69" s="2716"/>
      <c r="Y69" s="2716"/>
      <c r="Z69" s="2716"/>
      <c r="AA69" s="2716"/>
      <c r="AB69" s="2716"/>
      <c r="AC69" s="2716"/>
    </row>
    <row r="70" spans="1:29" ht="15.75" thickBot="1">
      <c r="A70" s="481"/>
      <c r="B70" s="490"/>
      <c r="C70" s="491">
        <v>100</v>
      </c>
      <c r="D70" s="491">
        <f>C70-$K20</f>
        <v>98</v>
      </c>
      <c r="E70" s="491">
        <f>D70-$K20</f>
        <v>96</v>
      </c>
      <c r="F70" s="491">
        <f>E70-$K20</f>
        <v>94</v>
      </c>
      <c r="G70" s="491">
        <f>F70-$K20</f>
        <v>92</v>
      </c>
      <c r="H70" s="491"/>
      <c r="I70" s="491"/>
      <c r="J70" s="491"/>
      <c r="K70" s="491"/>
      <c r="L70" s="491"/>
      <c r="M70" s="492"/>
      <c r="N70" s="2745"/>
      <c r="O70" s="2745"/>
      <c r="P70" s="2753"/>
      <c r="Q70" s="2730"/>
      <c r="R70" s="2716"/>
      <c r="S70" s="2716"/>
      <c r="T70" s="2716"/>
      <c r="U70" s="2716"/>
      <c r="V70" s="2716"/>
      <c r="W70" s="2716"/>
      <c r="X70" s="2716"/>
      <c r="Y70" s="2716"/>
      <c r="Z70" s="2716"/>
      <c r="AA70" s="2716"/>
      <c r="AB70" s="2716"/>
      <c r="AC70" s="2716"/>
    </row>
    <row r="71" spans="1:29" ht="15.75" thickTop="1">
      <c r="A71" s="481"/>
      <c r="B71" s="485" t="s">
        <v>1850</v>
      </c>
      <c r="C71" s="501"/>
      <c r="D71" s="501"/>
      <c r="E71" s="501"/>
      <c r="F71" s="501"/>
      <c r="G71" s="501"/>
      <c r="H71" s="530"/>
      <c r="I71" s="530"/>
      <c r="J71" s="530"/>
      <c r="K71" s="531"/>
      <c r="L71" s="532"/>
      <c r="M71" s="533"/>
      <c r="N71" s="2744"/>
      <c r="O71" s="2744"/>
      <c r="P71" s="2753"/>
      <c r="Q71" s="2730"/>
      <c r="R71" s="2716"/>
      <c r="S71" s="2716"/>
      <c r="T71" s="2716"/>
      <c r="U71" s="2716"/>
      <c r="V71" s="2716"/>
      <c r="W71" s="2716"/>
      <c r="X71" s="2716"/>
      <c r="Y71" s="2716"/>
      <c r="Z71" s="2716"/>
      <c r="AA71" s="2716"/>
      <c r="AB71" s="2716"/>
      <c r="AC71" s="2716"/>
    </row>
    <row r="72" spans="1:29" ht="15.75" thickBot="1">
      <c r="A72" s="481"/>
      <c r="B72" s="490"/>
      <c r="C72" s="491">
        <v>100</v>
      </c>
      <c r="D72" s="491">
        <f>C72-$K22</f>
        <v>100</v>
      </c>
      <c r="E72" s="491">
        <f>D72-$K22</f>
        <v>100</v>
      </c>
      <c r="F72" s="491">
        <f>E72-$K22</f>
        <v>100</v>
      </c>
      <c r="G72" s="491">
        <f>F72-$K22</f>
        <v>100</v>
      </c>
      <c r="H72" s="491"/>
      <c r="I72" s="491"/>
      <c r="J72" s="491"/>
      <c r="K72" s="491"/>
      <c r="L72" s="491"/>
      <c r="M72" s="492"/>
      <c r="N72" s="2745"/>
      <c r="O72" s="2745"/>
      <c r="P72" s="2753"/>
      <c r="Q72" s="2730"/>
      <c r="R72" s="2716"/>
      <c r="S72" s="2716"/>
      <c r="T72" s="2716"/>
      <c r="U72" s="2716"/>
      <c r="V72" s="2716"/>
      <c r="W72" s="2716"/>
      <c r="X72" s="2716"/>
      <c r="Y72" s="2716"/>
      <c r="Z72" s="2716"/>
      <c r="AA72" s="2716"/>
      <c r="AB72" s="2716"/>
      <c r="AC72" s="2716"/>
    </row>
    <row r="73" spans="1:29" s="108" customFormat="1" ht="15.75" thickTop="1">
      <c r="A73" s="526"/>
      <c r="B73" s="485">
        <f>B23</f>
        <v>111</v>
      </c>
      <c r="C73" s="496"/>
      <c r="D73" s="496"/>
      <c r="E73" s="496"/>
      <c r="F73" s="496"/>
      <c r="G73" s="501"/>
      <c r="H73" s="501"/>
      <c r="I73" s="501"/>
      <c r="J73" s="501"/>
      <c r="K73" s="501"/>
      <c r="L73" s="527"/>
      <c r="M73" s="528"/>
      <c r="N73" s="2743"/>
      <c r="O73" s="2743"/>
      <c r="P73" s="2753"/>
      <c r="Q73" s="2730"/>
      <c r="R73" s="2652"/>
      <c r="S73" s="2652"/>
      <c r="T73" s="2652"/>
      <c r="U73" s="2652"/>
      <c r="V73" s="2652"/>
      <c r="W73" s="2652"/>
      <c r="X73" s="2652"/>
      <c r="Y73" s="2652"/>
      <c r="Z73" s="2652"/>
      <c r="AA73" s="2652"/>
      <c r="AB73" s="2652"/>
      <c r="AC73" s="2652"/>
    </row>
    <row r="74" spans="1:29" s="108" customFormat="1" ht="15.75" thickBot="1">
      <c r="A74" s="526"/>
      <c r="B74" s="490"/>
      <c r="C74" s="507"/>
      <c r="D74" s="483"/>
      <c r="E74" s="483"/>
      <c r="F74" s="483"/>
      <c r="G74" s="483"/>
      <c r="H74" s="483"/>
      <c r="I74" s="483"/>
      <c r="J74" s="483"/>
      <c r="K74" s="483"/>
      <c r="L74" s="483"/>
      <c r="M74" s="484"/>
      <c r="N74" s="2745"/>
      <c r="O74" s="2745"/>
      <c r="P74" s="2753"/>
      <c r="Q74" s="2730"/>
      <c r="R74" s="2652"/>
      <c r="S74" s="2652"/>
      <c r="T74" s="2652"/>
      <c r="U74" s="2652"/>
      <c r="V74" s="2652"/>
      <c r="W74" s="2652"/>
      <c r="X74" s="2652"/>
      <c r="Y74" s="2652"/>
      <c r="Z74" s="2652"/>
      <c r="AA74" s="2652"/>
      <c r="AB74" s="2652"/>
      <c r="AC74" s="2652"/>
    </row>
    <row r="75" spans="1:29" s="108" customFormat="1" ht="15.75" thickTop="1">
      <c r="A75" s="526"/>
      <c r="B75" s="485">
        <f>B24</f>
        <v>111</v>
      </c>
      <c r="C75" s="496"/>
      <c r="D75" s="496"/>
      <c r="E75" s="496"/>
      <c r="F75" s="496"/>
      <c r="G75" s="501"/>
      <c r="H75" s="501"/>
      <c r="I75" s="501"/>
      <c r="J75" s="501"/>
      <c r="K75" s="501"/>
      <c r="L75" s="501"/>
      <c r="M75" s="528"/>
      <c r="N75" s="2743"/>
      <c r="O75" s="2743"/>
      <c r="P75" s="2753"/>
      <c r="Q75" s="2730"/>
      <c r="R75" s="2652"/>
      <c r="S75" s="2652"/>
      <c r="T75" s="2652"/>
      <c r="U75" s="2652"/>
      <c r="V75" s="2652"/>
      <c r="W75" s="2652"/>
      <c r="X75" s="2652"/>
      <c r="Y75" s="2652"/>
      <c r="Z75" s="2652"/>
      <c r="AA75" s="2652"/>
      <c r="AB75" s="2652"/>
      <c r="AC75" s="2652"/>
    </row>
    <row r="76" spans="1:29" s="108" customFormat="1" ht="15.75" thickBot="1">
      <c r="A76" s="526"/>
      <c r="B76" s="490"/>
      <c r="C76" s="507"/>
      <c r="D76" s="483"/>
      <c r="E76" s="483"/>
      <c r="F76" s="483"/>
      <c r="G76" s="483"/>
      <c r="H76" s="483"/>
      <c r="I76" s="483"/>
      <c r="J76" s="483"/>
      <c r="K76" s="483"/>
      <c r="L76" s="483"/>
      <c r="M76" s="484"/>
      <c r="N76" s="2745"/>
      <c r="O76" s="2745"/>
      <c r="P76" s="2753"/>
      <c r="Q76" s="2730"/>
      <c r="R76" s="2652"/>
      <c r="S76" s="2652"/>
      <c r="T76" s="2652"/>
      <c r="U76" s="2652"/>
      <c r="V76" s="2652"/>
      <c r="W76" s="2652"/>
      <c r="X76" s="2652"/>
      <c r="Y76" s="2652"/>
      <c r="Z76" s="2652"/>
      <c r="AA76" s="2652"/>
      <c r="AB76" s="2652"/>
      <c r="AC76" s="2652"/>
    </row>
    <row r="77" spans="1:29" s="422" customFormat="1" ht="15.75" thickTop="1">
      <c r="A77" s="500"/>
      <c r="B77" s="485">
        <f>B25</f>
        <v>111</v>
      </c>
      <c r="C77" s="501"/>
      <c r="D77" s="501"/>
      <c r="E77" s="501"/>
      <c r="F77" s="501"/>
      <c r="G77" s="501"/>
      <c r="H77" s="502"/>
      <c r="I77" s="502"/>
      <c r="J77" s="502"/>
      <c r="K77" s="502"/>
      <c r="L77" s="503"/>
      <c r="M77" s="504"/>
      <c r="N77" s="2746"/>
      <c r="O77" s="2746"/>
      <c r="P77" s="2754"/>
      <c r="Q77" s="2737"/>
      <c r="R77" s="2738"/>
      <c r="S77" s="2738"/>
      <c r="T77" s="2738"/>
      <c r="U77" s="2738"/>
      <c r="V77" s="2738"/>
      <c r="W77" s="2738"/>
      <c r="X77" s="2738"/>
      <c r="Y77" s="2738"/>
      <c r="Z77" s="2738"/>
      <c r="AA77" s="2738"/>
      <c r="AB77" s="2738"/>
      <c r="AC77" s="2738"/>
    </row>
    <row r="78" spans="1:29" s="422" customFormat="1" ht="15.75" thickBot="1">
      <c r="A78" s="500"/>
      <c r="B78" s="490"/>
      <c r="C78" s="507"/>
      <c r="D78" s="507"/>
      <c r="E78" s="507"/>
      <c r="F78" s="507"/>
      <c r="G78" s="483"/>
      <c r="H78" s="483"/>
      <c r="I78" s="483"/>
      <c r="J78" s="483"/>
      <c r="K78" s="483"/>
      <c r="L78" s="483"/>
      <c r="M78" s="484"/>
      <c r="N78" s="2746"/>
      <c r="O78" s="2746"/>
      <c r="P78" s="2754"/>
      <c r="Q78" s="2737"/>
      <c r="R78" s="2738"/>
      <c r="S78" s="2738"/>
      <c r="T78" s="2738"/>
      <c r="U78" s="2738"/>
      <c r="V78" s="2738"/>
      <c r="W78" s="2738"/>
      <c r="X78" s="2738"/>
      <c r="Y78" s="2738"/>
      <c r="Z78" s="2738"/>
      <c r="AA78" s="2738"/>
      <c r="AB78" s="2738"/>
      <c r="AC78" s="2738"/>
    </row>
    <row r="79" spans="1:29" ht="27.75" thickTop="1">
      <c r="A79" s="474" t="s">
        <v>1692</v>
      </c>
      <c r="B79" s="475" t="s">
        <v>1851</v>
      </c>
      <c r="C79" s="476" t="str">
        <f>C26</f>
        <v>车库</v>
      </c>
      <c r="D79" s="477"/>
      <c r="E79" s="477"/>
      <c r="F79" s="477"/>
      <c r="G79" s="477"/>
      <c r="H79" s="477"/>
      <c r="I79" s="477"/>
      <c r="J79" s="477"/>
      <c r="K79" s="478"/>
      <c r="L79" s="479"/>
      <c r="M79" s="480"/>
      <c r="N79" s="2744"/>
      <c r="O79" s="2744"/>
      <c r="P79" s="2753"/>
      <c r="Q79" s="2730"/>
      <c r="R79" s="2716"/>
      <c r="S79" s="2716"/>
      <c r="T79" s="2716"/>
      <c r="U79" s="2716"/>
      <c r="V79" s="2716"/>
      <c r="W79" s="2716"/>
      <c r="X79" s="2716"/>
      <c r="Y79" s="2716"/>
      <c r="Z79" s="2716"/>
      <c r="AA79" s="2716"/>
      <c r="AB79" s="2716"/>
      <c r="AC79" s="2716"/>
    </row>
    <row r="80" spans="1:29" ht="15.75" thickBot="1">
      <c r="A80" s="481"/>
      <c r="B80" s="490"/>
      <c r="C80" s="491">
        <v>100</v>
      </c>
      <c r="D80" s="491">
        <f t="shared" ref="D80:M80" si="17">C80-$K26</f>
        <v>98</v>
      </c>
      <c r="E80" s="491">
        <f t="shared" si="17"/>
        <v>96</v>
      </c>
      <c r="F80" s="491">
        <f t="shared" si="17"/>
        <v>94</v>
      </c>
      <c r="G80" s="491">
        <f t="shared" si="17"/>
        <v>92</v>
      </c>
      <c r="H80" s="491">
        <f t="shared" si="17"/>
        <v>90</v>
      </c>
      <c r="I80" s="491">
        <f t="shared" si="17"/>
        <v>88</v>
      </c>
      <c r="J80" s="491">
        <f t="shared" si="17"/>
        <v>86</v>
      </c>
      <c r="K80" s="491">
        <f t="shared" si="17"/>
        <v>84</v>
      </c>
      <c r="L80" s="491">
        <f t="shared" si="17"/>
        <v>82</v>
      </c>
      <c r="M80" s="492">
        <f t="shared" si="17"/>
        <v>80</v>
      </c>
      <c r="N80" s="2745"/>
      <c r="O80" s="2745"/>
      <c r="P80" s="2753"/>
      <c r="Q80" s="2730"/>
      <c r="R80" s="2716"/>
      <c r="S80" s="2716"/>
      <c r="T80" s="2716"/>
      <c r="U80" s="2716"/>
      <c r="V80" s="2716"/>
      <c r="W80" s="2716"/>
      <c r="X80" s="2716"/>
      <c r="Y80" s="2716"/>
      <c r="Z80" s="2716"/>
      <c r="AA80" s="2716"/>
      <c r="AB80" s="2716"/>
      <c r="AC80" s="2716"/>
    </row>
    <row r="81" spans="1:29" ht="15.75" thickTop="1">
      <c r="A81" s="481"/>
      <c r="B81" s="485" t="s">
        <v>1852</v>
      </c>
      <c r="C81" s="607"/>
      <c r="D81" s="607"/>
      <c r="E81" s="607"/>
      <c r="F81" s="607"/>
      <c r="G81" s="607"/>
      <c r="H81" s="607"/>
      <c r="I81" s="607"/>
      <c r="J81" s="607"/>
      <c r="K81" s="608"/>
      <c r="L81" s="609"/>
      <c r="M81" s="610"/>
      <c r="N81" s="2743"/>
      <c r="O81" s="2743"/>
      <c r="P81" s="2753"/>
      <c r="Q81" s="2730"/>
      <c r="R81" s="2716"/>
      <c r="S81" s="2716"/>
      <c r="T81" s="2716"/>
      <c r="U81" s="2716"/>
      <c r="V81" s="2716"/>
      <c r="W81" s="2716"/>
      <c r="X81" s="2716"/>
      <c r="Y81" s="2716"/>
      <c r="Z81" s="2716"/>
      <c r="AA81" s="2716"/>
      <c r="AB81" s="2716"/>
      <c r="AC81" s="2716"/>
    </row>
    <row r="82" spans="1:29" s="422" customFormat="1" ht="15.75" thickBot="1">
      <c r="A82" s="500"/>
      <c r="B82" s="490"/>
      <c r="C82" s="507"/>
      <c r="D82" s="483"/>
      <c r="E82" s="483"/>
      <c r="F82" s="483"/>
      <c r="G82" s="483"/>
      <c r="H82" s="483"/>
      <c r="I82" s="483"/>
      <c r="J82" s="483"/>
      <c r="K82" s="483"/>
      <c r="L82" s="483"/>
      <c r="M82" s="484"/>
      <c r="N82" s="2745"/>
      <c r="O82" s="2745"/>
      <c r="P82" s="2754"/>
      <c r="Q82" s="2737"/>
      <c r="R82" s="2738"/>
      <c r="S82" s="2738"/>
      <c r="T82" s="2738"/>
      <c r="U82" s="2738"/>
      <c r="V82" s="2738"/>
      <c r="W82" s="2738"/>
      <c r="X82" s="2738"/>
      <c r="Y82" s="2738"/>
      <c r="Z82" s="2738"/>
      <c r="AA82" s="2738"/>
      <c r="AB82" s="2738"/>
      <c r="AC82" s="2738"/>
    </row>
    <row r="83" spans="1:29" ht="15" thickTop="1">
      <c r="A83" s="546"/>
      <c r="B83" s="485" t="s">
        <v>1738</v>
      </c>
      <c r="C83" s="3467" t="s">
        <v>3885</v>
      </c>
      <c r="D83" s="501"/>
      <c r="E83" s="530"/>
      <c r="F83" s="530"/>
      <c r="G83" s="530"/>
      <c r="H83" s="530"/>
      <c r="I83" s="530"/>
      <c r="J83" s="530"/>
      <c r="K83" s="531"/>
      <c r="L83" s="532"/>
      <c r="M83" s="533"/>
      <c r="N83" s="2744"/>
      <c r="O83" s="2744"/>
      <c r="P83" s="2753"/>
      <c r="Q83" s="2730"/>
      <c r="R83" s="2716"/>
      <c r="S83" s="2716"/>
      <c r="T83" s="2716"/>
      <c r="U83" s="2716"/>
      <c r="V83" s="2716"/>
      <c r="W83" s="2716"/>
      <c r="X83" s="2716"/>
      <c r="Y83" s="2716"/>
      <c r="Z83" s="2716"/>
      <c r="AA83" s="2716"/>
      <c r="AB83" s="2716"/>
      <c r="AC83" s="2716"/>
    </row>
    <row r="84" spans="1:29" ht="15.75" thickBot="1">
      <c r="A84" s="481"/>
      <c r="B84" s="490"/>
      <c r="C84" s="491">
        <v>100</v>
      </c>
      <c r="D84" s="491">
        <f t="shared" ref="D84:M84" si="18">C84-$K28</f>
        <v>98</v>
      </c>
      <c r="E84" s="491">
        <f t="shared" si="18"/>
        <v>96</v>
      </c>
      <c r="F84" s="491">
        <f t="shared" si="18"/>
        <v>94</v>
      </c>
      <c r="G84" s="491">
        <f t="shared" si="18"/>
        <v>92</v>
      </c>
      <c r="H84" s="491">
        <f t="shared" si="18"/>
        <v>90</v>
      </c>
      <c r="I84" s="491">
        <f t="shared" si="18"/>
        <v>88</v>
      </c>
      <c r="J84" s="491">
        <f t="shared" si="18"/>
        <v>86</v>
      </c>
      <c r="K84" s="491">
        <f t="shared" si="18"/>
        <v>84</v>
      </c>
      <c r="L84" s="491">
        <f t="shared" si="18"/>
        <v>82</v>
      </c>
      <c r="M84" s="492">
        <f t="shared" si="18"/>
        <v>80</v>
      </c>
      <c r="N84" s="2745"/>
      <c r="O84" s="2745"/>
      <c r="P84" s="2753"/>
      <c r="Q84" s="2730"/>
      <c r="R84" s="2716"/>
      <c r="S84" s="2716"/>
      <c r="T84" s="2716"/>
      <c r="U84" s="2716"/>
      <c r="V84" s="2716"/>
      <c r="W84" s="2716"/>
      <c r="X84" s="2716"/>
      <c r="Y84" s="2716"/>
      <c r="Z84" s="2716"/>
      <c r="AA84" s="2716"/>
      <c r="AB84" s="2716"/>
      <c r="AC84" s="2716"/>
    </row>
    <row r="85" spans="1:29" ht="15" thickTop="1">
      <c r="A85" s="546"/>
      <c r="B85" s="485" t="s">
        <v>1853</v>
      </c>
      <c r="C85" s="525" t="str">
        <f>C86&amp;"(含)"&amp;"-"&amp;D86</f>
        <v>0.5(含)-0.6</v>
      </c>
      <c r="D85" s="525" t="str">
        <f>D86&amp;"(含)"&amp;"-"&amp;E86</f>
        <v>0.6(含)-0.7</v>
      </c>
      <c r="E85" s="525" t="str">
        <f>E86&amp;"(含)"&amp;"-"&amp;F86</f>
        <v>0.7(含)-0.8</v>
      </c>
      <c r="F85" s="525" t="str">
        <f>F86&amp;"(含)"&amp;"-"&amp;G86</f>
        <v>0.8(含)-0.9</v>
      </c>
      <c r="G85" s="525" t="str">
        <f>G86&amp;"(含)"&amp;"-"&amp;ROUND(H86,0)&amp;"(含)"</f>
        <v>0.9(含)-1(含)</v>
      </c>
      <c r="H85" s="525"/>
      <c r="I85" s="530"/>
      <c r="J85" s="530"/>
      <c r="K85" s="531"/>
      <c r="L85" s="532"/>
      <c r="M85" s="533"/>
      <c r="N85" s="2744"/>
      <c r="O85" s="2744"/>
      <c r="P85" s="2753"/>
      <c r="Q85" s="2730"/>
      <c r="R85" s="2716"/>
      <c r="S85" s="2716"/>
      <c r="T85" s="2716"/>
      <c r="U85" s="2716"/>
      <c r="V85" s="2716"/>
      <c r="W85" s="2716"/>
      <c r="X85" s="2716"/>
      <c r="Y85" s="2716"/>
      <c r="Z85" s="2716"/>
      <c r="AA85" s="2716"/>
      <c r="AB85" s="2716"/>
      <c r="AC85" s="2716"/>
    </row>
    <row r="86" spans="1:29">
      <c r="A86" s="546"/>
      <c r="B86" s="493"/>
      <c r="C86" s="550">
        <v>0.5</v>
      </c>
      <c r="D86" s="550">
        <v>0.6</v>
      </c>
      <c r="E86" s="550">
        <v>0.7</v>
      </c>
      <c r="F86" s="550">
        <v>0.8</v>
      </c>
      <c r="G86" s="550">
        <v>0.9</v>
      </c>
      <c r="H86" s="550">
        <v>1.0001</v>
      </c>
      <c r="I86" s="569"/>
      <c r="J86" s="569"/>
      <c r="K86" s="570"/>
      <c r="L86" s="571"/>
      <c r="M86" s="572"/>
      <c r="N86" s="2744"/>
      <c r="O86" s="2744"/>
      <c r="P86" s="2753"/>
      <c r="Q86" s="2730"/>
      <c r="R86" s="2716"/>
      <c r="S86" s="2716"/>
      <c r="T86" s="2716"/>
      <c r="U86" s="2716"/>
      <c r="V86" s="2716"/>
      <c r="W86" s="2716"/>
      <c r="X86" s="2716"/>
      <c r="Y86" s="2716"/>
      <c r="Z86" s="2716"/>
      <c r="AA86" s="2716"/>
      <c r="AB86" s="2716"/>
      <c r="AC86" s="2716"/>
    </row>
    <row r="87" spans="1:29" ht="15.75" thickBot="1">
      <c r="A87" s="481"/>
      <c r="B87" s="490"/>
      <c r="C87" s="529">
        <v>100</v>
      </c>
      <c r="D87" s="491">
        <f>C87+$K$29</f>
        <v>101</v>
      </c>
      <c r="E87" s="491">
        <f t="shared" ref="E87:M87" si="19">D87+$K$29</f>
        <v>102</v>
      </c>
      <c r="F87" s="491">
        <f t="shared" si="19"/>
        <v>103</v>
      </c>
      <c r="G87" s="491">
        <f t="shared" si="19"/>
        <v>104</v>
      </c>
      <c r="H87" s="491">
        <f t="shared" si="19"/>
        <v>105</v>
      </c>
      <c r="I87" s="491">
        <f t="shared" si="19"/>
        <v>106</v>
      </c>
      <c r="J87" s="491">
        <f t="shared" si="19"/>
        <v>107</v>
      </c>
      <c r="K87" s="491">
        <f t="shared" si="19"/>
        <v>108</v>
      </c>
      <c r="L87" s="491">
        <f t="shared" si="19"/>
        <v>109</v>
      </c>
      <c r="M87" s="491">
        <f t="shared" si="19"/>
        <v>110</v>
      </c>
      <c r="N87" s="2745"/>
      <c r="O87" s="2745"/>
      <c r="P87" s="2753"/>
      <c r="Q87" s="2730"/>
      <c r="R87" s="2716"/>
      <c r="S87" s="2716"/>
      <c r="T87" s="2716"/>
      <c r="U87" s="2716"/>
      <c r="V87" s="2716"/>
      <c r="W87" s="2716"/>
      <c r="X87" s="2716"/>
      <c r="Y87" s="2716"/>
      <c r="Z87" s="2716"/>
      <c r="AA87" s="2716"/>
      <c r="AB87" s="2716"/>
      <c r="AC87" s="2716"/>
    </row>
    <row r="88" spans="1:29" ht="15" thickTop="1">
      <c r="A88" s="546"/>
      <c r="B88" s="493" t="s">
        <v>1854</v>
      </c>
      <c r="C88" s="3470" t="s">
        <v>3886</v>
      </c>
      <c r="D88" s="477"/>
      <c r="E88" s="477"/>
      <c r="F88" s="477"/>
      <c r="G88" s="477"/>
      <c r="H88" s="477"/>
      <c r="I88" s="477"/>
      <c r="J88" s="477"/>
      <c r="K88" s="478"/>
      <c r="L88" s="479"/>
      <c r="M88" s="480"/>
      <c r="N88" s="2744"/>
      <c r="O88" s="2744"/>
      <c r="P88" s="2753"/>
      <c r="Q88" s="2730"/>
      <c r="R88" s="2716"/>
      <c r="S88" s="2716"/>
      <c r="T88" s="2716"/>
      <c r="U88" s="2716"/>
      <c r="V88" s="2716"/>
      <c r="W88" s="2716"/>
      <c r="X88" s="2716"/>
      <c r="Y88" s="2716"/>
      <c r="Z88" s="2716"/>
      <c r="AA88" s="2716"/>
      <c r="AB88" s="2716"/>
      <c r="AC88" s="2716"/>
    </row>
    <row r="89" spans="1:29" ht="15.75" thickBot="1">
      <c r="A89" s="481"/>
      <c r="B89" s="490"/>
      <c r="C89" s="529">
        <v>100</v>
      </c>
      <c r="D89" s="491">
        <f t="shared" ref="D89:M89" si="20">C89+$K30</f>
        <v>102</v>
      </c>
      <c r="E89" s="491">
        <f t="shared" si="20"/>
        <v>104</v>
      </c>
      <c r="F89" s="491">
        <f t="shared" si="20"/>
        <v>106</v>
      </c>
      <c r="G89" s="491">
        <f t="shared" si="20"/>
        <v>108</v>
      </c>
      <c r="H89" s="491">
        <f t="shared" si="20"/>
        <v>110</v>
      </c>
      <c r="I89" s="491">
        <f t="shared" si="20"/>
        <v>112</v>
      </c>
      <c r="J89" s="491">
        <f t="shared" si="20"/>
        <v>114</v>
      </c>
      <c r="K89" s="491">
        <f t="shared" si="20"/>
        <v>116</v>
      </c>
      <c r="L89" s="491">
        <f t="shared" si="20"/>
        <v>118</v>
      </c>
      <c r="M89" s="491">
        <f t="shared" si="20"/>
        <v>120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0"/>
      <c r="B90" s="485" t="s">
        <v>1855</v>
      </c>
      <c r="C90" s="525" t="str">
        <f>C91&amp;"(含)"&amp;"-"&amp;D91</f>
        <v>0(含)-30</v>
      </c>
      <c r="D90" s="525" t="str">
        <f t="shared" ref="D90:L90" si="21">D91&amp;"(含)"&amp;"-"&amp;E91</f>
        <v>30(含)-50</v>
      </c>
      <c r="E90" s="525" t="str">
        <f t="shared" si="21"/>
        <v>50(含)-</v>
      </c>
      <c r="F90" s="525" t="str">
        <f t="shared" si="21"/>
        <v>(含)-</v>
      </c>
      <c r="G90" s="525" t="str">
        <f t="shared" si="21"/>
        <v>(含)-</v>
      </c>
      <c r="H90" s="525" t="str">
        <f t="shared" si="21"/>
        <v>(含)-</v>
      </c>
      <c r="I90" s="525" t="str">
        <f t="shared" si="21"/>
        <v>(含)-</v>
      </c>
      <c r="J90" s="525" t="str">
        <f t="shared" si="21"/>
        <v>(含)-</v>
      </c>
      <c r="K90" s="525" t="str">
        <f t="shared" si="21"/>
        <v>(含)-</v>
      </c>
      <c r="L90" s="525" t="str">
        <f t="shared" si="21"/>
        <v>(含)-</v>
      </c>
      <c r="M90" s="568" t="str">
        <f>M91&amp;"(含)"&amp;"-"&amp;P91</f>
        <v>(含)-</v>
      </c>
      <c r="N90" s="2746"/>
      <c r="O90" s="2746"/>
      <c r="P90" s="2754"/>
      <c r="Q90" s="2737"/>
      <c r="R90" s="2738"/>
      <c r="S90" s="2738"/>
      <c r="T90" s="2738"/>
      <c r="U90" s="2738"/>
      <c r="V90" s="2738"/>
      <c r="W90" s="2738"/>
      <c r="X90" s="2738"/>
      <c r="Y90" s="2738"/>
      <c r="Z90" s="2738"/>
      <c r="AA90" s="2738"/>
      <c r="AB90" s="2738"/>
      <c r="AC90" s="2738"/>
    </row>
    <row r="91" spans="1:29" s="422" customFormat="1">
      <c r="A91" s="540"/>
      <c r="B91" s="493"/>
      <c r="C91" s="542">
        <v>0</v>
      </c>
      <c r="D91" s="542">
        <v>30</v>
      </c>
      <c r="E91" s="542">
        <v>50</v>
      </c>
      <c r="F91" s="542"/>
      <c r="G91" s="542"/>
      <c r="H91" s="542"/>
      <c r="I91" s="542"/>
      <c r="J91" s="543"/>
      <c r="K91" s="543"/>
      <c r="L91" s="544"/>
      <c r="M91" s="545"/>
      <c r="N91" s="2746"/>
      <c r="O91" s="2746"/>
      <c r="P91" s="2754"/>
      <c r="Q91" s="2737"/>
      <c r="R91" s="2738"/>
      <c r="S91" s="2738"/>
      <c r="T91" s="2738"/>
      <c r="U91" s="2738"/>
      <c r="V91" s="2738"/>
      <c r="W91" s="2738"/>
      <c r="X91" s="2738"/>
      <c r="Y91" s="2738"/>
      <c r="Z91" s="2738"/>
      <c r="AA91" s="2738"/>
      <c r="AB91" s="2738"/>
      <c r="AC91" s="2738"/>
    </row>
    <row r="92" spans="1:29" s="422" customFormat="1" ht="15.75" thickBot="1">
      <c r="A92" s="500"/>
      <c r="B92" s="490"/>
      <c r="C92" s="507">
        <v>98</v>
      </c>
      <c r="D92" s="483">
        <v>100</v>
      </c>
      <c r="E92" s="483"/>
      <c r="F92" s="483"/>
      <c r="G92" s="483"/>
      <c r="H92" s="483"/>
      <c r="I92" s="483"/>
      <c r="J92" s="483"/>
      <c r="K92" s="483"/>
      <c r="L92" s="483"/>
      <c r="M92" s="484"/>
      <c r="N92" s="2746"/>
      <c r="O92" s="2746"/>
      <c r="P92" s="2754"/>
      <c r="Q92" s="2737"/>
      <c r="R92" s="2738"/>
      <c r="S92" s="2738"/>
      <c r="T92" s="2738"/>
      <c r="U92" s="2738"/>
      <c r="V92" s="2738"/>
      <c r="W92" s="2738"/>
      <c r="X92" s="2738"/>
      <c r="Y92" s="2738"/>
      <c r="Z92" s="2738"/>
      <c r="AA92" s="2738"/>
      <c r="AB92" s="2738"/>
      <c r="AC92" s="2738"/>
    </row>
    <row r="93" spans="1:29" ht="15" thickTop="1">
      <c r="A93" s="546"/>
      <c r="B93" s="485" t="s">
        <v>1856</v>
      </c>
      <c r="C93" s="3467" t="s">
        <v>3896</v>
      </c>
      <c r="D93" s="501"/>
      <c r="E93" s="530"/>
      <c r="F93" s="530"/>
      <c r="G93" s="530"/>
      <c r="H93" s="530"/>
      <c r="I93" s="530"/>
      <c r="J93" s="530"/>
      <c r="K93" s="531"/>
      <c r="L93" s="532"/>
      <c r="M93" s="533"/>
      <c r="N93" s="2744"/>
      <c r="O93" s="2744"/>
      <c r="P93" s="2753"/>
      <c r="Q93" s="2730"/>
      <c r="R93" s="2716"/>
      <c r="S93" s="2716"/>
      <c r="T93" s="2716"/>
      <c r="U93" s="2716"/>
      <c r="V93" s="2716"/>
      <c r="W93" s="2716"/>
      <c r="X93" s="2716"/>
      <c r="Y93" s="2716"/>
      <c r="Z93" s="2716"/>
      <c r="AA93" s="2716"/>
      <c r="AB93" s="2716"/>
      <c r="AC93" s="2716"/>
    </row>
    <row r="94" spans="1:29" ht="15.75" thickBot="1">
      <c r="A94" s="481"/>
      <c r="B94" s="490"/>
      <c r="C94" s="491">
        <v>100</v>
      </c>
      <c r="D94" s="491">
        <f t="shared" ref="D94:M94" si="22">C94-$K32</f>
        <v>98</v>
      </c>
      <c r="E94" s="491">
        <f t="shared" si="22"/>
        <v>96</v>
      </c>
      <c r="F94" s="491">
        <f t="shared" si="22"/>
        <v>94</v>
      </c>
      <c r="G94" s="491">
        <f t="shared" si="22"/>
        <v>92</v>
      </c>
      <c r="H94" s="491">
        <f t="shared" si="22"/>
        <v>90</v>
      </c>
      <c r="I94" s="491">
        <f t="shared" si="22"/>
        <v>88</v>
      </c>
      <c r="J94" s="491">
        <f t="shared" si="22"/>
        <v>86</v>
      </c>
      <c r="K94" s="491">
        <f t="shared" si="22"/>
        <v>84</v>
      </c>
      <c r="L94" s="491">
        <f t="shared" si="22"/>
        <v>82</v>
      </c>
      <c r="M94" s="492">
        <f t="shared" si="22"/>
        <v>80</v>
      </c>
      <c r="N94" s="2745"/>
      <c r="O94" s="2745"/>
      <c r="P94" s="2753"/>
      <c r="Q94" s="2730"/>
      <c r="R94" s="2716"/>
      <c r="S94" s="2716"/>
      <c r="T94" s="2716"/>
      <c r="U94" s="2716"/>
      <c r="V94" s="2716"/>
      <c r="W94" s="2716"/>
      <c r="X94" s="2716"/>
      <c r="Y94" s="2716"/>
      <c r="Z94" s="2716"/>
      <c r="AA94" s="2716"/>
      <c r="AB94" s="2716"/>
      <c r="AC94" s="2716"/>
    </row>
    <row r="95" spans="1:29" ht="15" thickTop="1">
      <c r="A95" s="546"/>
      <c r="B95" s="485" t="s">
        <v>1857</v>
      </c>
      <c r="C95" s="477"/>
      <c r="D95" s="477"/>
      <c r="E95" s="477"/>
      <c r="F95" s="477"/>
      <c r="G95" s="477"/>
      <c r="H95" s="477"/>
      <c r="I95" s="477"/>
      <c r="J95" s="477"/>
      <c r="K95" s="478"/>
      <c r="L95" s="479"/>
      <c r="M95" s="480"/>
      <c r="N95" s="2744"/>
      <c r="O95" s="2744"/>
      <c r="P95" s="2753"/>
      <c r="Q95" s="2730"/>
      <c r="R95" s="2716"/>
      <c r="S95" s="2716"/>
      <c r="T95" s="2716"/>
      <c r="U95" s="2716"/>
      <c r="V95" s="2716"/>
      <c r="W95" s="2716"/>
      <c r="X95" s="2716"/>
      <c r="Y95" s="2716"/>
      <c r="Z95" s="2716"/>
      <c r="AA95" s="2716"/>
      <c r="AB95" s="2716"/>
      <c r="AC95" s="2716"/>
    </row>
    <row r="96" spans="1:29" ht="15.75" thickBot="1">
      <c r="A96" s="481"/>
      <c r="B96" s="490"/>
      <c r="C96" s="491">
        <v>100</v>
      </c>
      <c r="D96" s="491">
        <f>C96-$K33</f>
        <v>100</v>
      </c>
      <c r="E96" s="491">
        <f>D96-$K33</f>
        <v>100</v>
      </c>
      <c r="F96" s="491">
        <f>E96-$K33</f>
        <v>100</v>
      </c>
      <c r="G96" s="491">
        <f>F96-$K33</f>
        <v>100</v>
      </c>
      <c r="H96" s="491"/>
      <c r="I96" s="491"/>
      <c r="J96" s="491"/>
      <c r="K96" s="491"/>
      <c r="L96" s="491"/>
      <c r="M96" s="492"/>
      <c r="N96" s="2745"/>
      <c r="O96" s="2745"/>
      <c r="P96" s="2753"/>
      <c r="Q96" s="2730"/>
      <c r="R96" s="2716"/>
      <c r="S96" s="2716"/>
      <c r="T96" s="2716"/>
      <c r="U96" s="2716"/>
      <c r="V96" s="2716"/>
      <c r="W96" s="2716"/>
      <c r="X96" s="2716"/>
      <c r="Y96" s="2716"/>
      <c r="Z96" s="2716"/>
      <c r="AA96" s="2716"/>
      <c r="AB96" s="2716"/>
      <c r="AC96" s="2716"/>
    </row>
    <row r="97" spans="1:29" ht="15" thickTop="1">
      <c r="A97" s="546"/>
      <c r="B97" s="582">
        <f>B34</f>
        <v>111</v>
      </c>
      <c r="C97" s="496"/>
      <c r="D97" s="496"/>
      <c r="E97" s="496"/>
      <c r="F97" s="496"/>
      <c r="G97" s="501"/>
      <c r="H97" s="502"/>
      <c r="I97" s="502"/>
      <c r="J97" s="502"/>
      <c r="K97" s="502"/>
      <c r="L97" s="503"/>
      <c r="M97" s="504"/>
      <c r="N97" s="2745"/>
      <c r="O97" s="2745"/>
      <c r="P97" s="2758"/>
      <c r="Q97" s="2759"/>
      <c r="R97" s="2716"/>
      <c r="S97" s="2716"/>
      <c r="T97" s="2716"/>
      <c r="U97" s="2716"/>
      <c r="V97" s="2716"/>
      <c r="W97" s="2716"/>
      <c r="X97" s="2716"/>
      <c r="Y97" s="2716"/>
      <c r="Z97" s="2716"/>
      <c r="AA97" s="2716"/>
      <c r="AB97" s="2716"/>
      <c r="AC97" s="2716"/>
    </row>
    <row r="98" spans="1:29" ht="15.75" thickBot="1">
      <c r="A98" s="481"/>
      <c r="B98" s="490"/>
      <c r="C98" s="507"/>
      <c r="D98" s="483"/>
      <c r="E98" s="483"/>
      <c r="F98" s="483"/>
      <c r="G98" s="507"/>
      <c r="H98" s="509"/>
      <c r="I98" s="509"/>
      <c r="J98" s="509"/>
      <c r="K98" s="509"/>
      <c r="L98" s="509"/>
      <c r="M98" s="510"/>
      <c r="N98" s="2745"/>
      <c r="O98" s="2745"/>
      <c r="P98" s="2753"/>
      <c r="Q98" s="2730"/>
      <c r="R98" s="2716"/>
      <c r="S98" s="2716"/>
      <c r="T98" s="2716"/>
      <c r="U98" s="2716"/>
      <c r="V98" s="2716"/>
      <c r="W98" s="2716"/>
      <c r="X98" s="2716"/>
      <c r="Y98" s="2716"/>
      <c r="Z98" s="2716"/>
      <c r="AA98" s="2716"/>
      <c r="AB98" s="2716"/>
      <c r="AC98" s="2716"/>
    </row>
    <row r="99" spans="1:29" s="422" customFormat="1" ht="15" thickTop="1">
      <c r="A99" s="540"/>
      <c r="B99" s="485">
        <f>B35</f>
        <v>111</v>
      </c>
      <c r="C99" s="496"/>
      <c r="D99" s="496"/>
      <c r="E99" s="496"/>
      <c r="F99" s="496"/>
      <c r="G99" s="501"/>
      <c r="H99" s="502"/>
      <c r="I99" s="502"/>
      <c r="J99" s="502"/>
      <c r="K99" s="502"/>
      <c r="L99" s="503"/>
      <c r="M99" s="504"/>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0"/>
      <c r="B100" s="482"/>
      <c r="C100" s="507"/>
      <c r="D100" s="483"/>
      <c r="E100" s="483"/>
      <c r="F100" s="483"/>
      <c r="G100" s="507"/>
      <c r="H100" s="509"/>
      <c r="I100" s="509"/>
      <c r="J100" s="509"/>
      <c r="K100" s="509"/>
      <c r="L100" s="509"/>
      <c r="M100" s="510"/>
      <c r="N100" s="2746"/>
      <c r="O100" s="2746"/>
      <c r="P100" s="2754"/>
      <c r="Q100" s="2737"/>
      <c r="R100" s="2738"/>
      <c r="S100" s="2738"/>
      <c r="T100" s="2738"/>
      <c r="U100" s="2738"/>
      <c r="V100" s="2738"/>
      <c r="W100" s="2738"/>
      <c r="X100" s="2738"/>
      <c r="Y100" s="2738"/>
      <c r="Z100" s="2738"/>
      <c r="AA100" s="2738"/>
      <c r="AB100" s="2738"/>
      <c r="AC100" s="2738"/>
    </row>
    <row r="101" spans="1:29" ht="15" thickTop="1">
      <c r="A101" s="546"/>
      <c r="B101" s="485">
        <f>B36</f>
        <v>111</v>
      </c>
      <c r="C101" s="501"/>
      <c r="D101" s="501"/>
      <c r="E101" s="501"/>
      <c r="F101" s="501"/>
      <c r="G101" s="501"/>
      <c r="H101" s="502"/>
      <c r="I101" s="502"/>
      <c r="J101" s="502"/>
      <c r="K101" s="502"/>
      <c r="L101" s="503"/>
      <c r="M101" s="504"/>
      <c r="N101" s="2744"/>
      <c r="O101" s="2744"/>
      <c r="P101" s="2753"/>
      <c r="Q101" s="2730"/>
      <c r="R101" s="2716"/>
      <c r="S101" s="2716"/>
      <c r="T101" s="2716"/>
      <c r="U101" s="2716"/>
      <c r="V101" s="2716"/>
      <c r="W101" s="2716"/>
      <c r="X101" s="2716"/>
      <c r="Y101" s="2716"/>
      <c r="Z101" s="2716"/>
      <c r="AA101" s="2716"/>
      <c r="AB101" s="2716"/>
      <c r="AC101" s="2716"/>
    </row>
    <row r="102" spans="1:29" ht="15.75" thickBot="1">
      <c r="A102" s="481"/>
      <c r="B102" s="490"/>
      <c r="C102" s="507"/>
      <c r="D102" s="507"/>
      <c r="E102" s="507"/>
      <c r="F102" s="507"/>
      <c r="G102" s="507"/>
      <c r="H102" s="509"/>
      <c r="I102" s="509"/>
      <c r="J102" s="509"/>
      <c r="K102" s="509"/>
      <c r="L102" s="509"/>
      <c r="M102" s="510"/>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42" priority="18" stopIfTrue="1" operator="containsText" text="超过">
      <formula>NOT(ISERROR(SEARCH("超过",F42)))</formula>
    </cfRule>
  </conditionalFormatting>
  <conditionalFormatting sqref="J44">
    <cfRule type="containsText" dxfId="41" priority="17" stopIfTrue="1" operator="containsText" text="超过">
      <formula>NOT(ISERROR(SEARCH("超过",J44)))</formula>
    </cfRule>
  </conditionalFormatting>
  <conditionalFormatting sqref="H44">
    <cfRule type="containsText" dxfId="40" priority="16" stopIfTrue="1" operator="containsText" text="超过">
      <formula>NOT(ISERROR(SEARCH("超过",H44)))</formula>
    </cfRule>
  </conditionalFormatting>
  <conditionalFormatting sqref="F44">
    <cfRule type="containsText" dxfId="39" priority="15" stopIfTrue="1" operator="containsText" text="超过">
      <formula>NOT(ISERROR(SEARCH("超过",F44)))</formula>
    </cfRule>
  </conditionalFormatting>
  <conditionalFormatting sqref="F43 H43 J43">
    <cfRule type="containsText" dxfId="38" priority="14" stopIfTrue="1" operator="containsText" text="超过">
      <formula>NOT(ISERROR(SEARCH("超过",F43)))</formula>
    </cfRule>
  </conditionalFormatting>
  <conditionalFormatting sqref="E42">
    <cfRule type="expression" dxfId="37" priority="13" stopIfTrue="1">
      <formula>$F$42="超过30%"</formula>
    </cfRule>
  </conditionalFormatting>
  <conditionalFormatting sqref="G44">
    <cfRule type="expression" dxfId="36" priority="12" stopIfTrue="1">
      <formula>$H$54+$H$44="超过30%"</formula>
    </cfRule>
  </conditionalFormatting>
  <conditionalFormatting sqref="E43">
    <cfRule type="expression" dxfId="35" priority="11" stopIfTrue="1">
      <formula>$F$43="超过20%"</formula>
    </cfRule>
  </conditionalFormatting>
  <conditionalFormatting sqref="E44">
    <cfRule type="expression" dxfId="34" priority="10" stopIfTrue="1">
      <formula>$F$44="超过30%"</formula>
    </cfRule>
  </conditionalFormatting>
  <conditionalFormatting sqref="G42">
    <cfRule type="expression" dxfId="33" priority="9" stopIfTrue="1">
      <formula>$H$52+$H$42="超过30%"</formula>
    </cfRule>
  </conditionalFormatting>
  <conditionalFormatting sqref="G43">
    <cfRule type="expression" dxfId="32" priority="8" stopIfTrue="1">
      <formula>$H$43="超过20%"</formula>
    </cfRule>
  </conditionalFormatting>
  <conditionalFormatting sqref="I42">
    <cfRule type="expression" dxfId="31" priority="7" stopIfTrue="1">
      <formula>$J$52+$J$42="超过30%"</formula>
    </cfRule>
  </conditionalFormatting>
  <conditionalFormatting sqref="I43">
    <cfRule type="expression" dxfId="30" priority="6" stopIfTrue="1">
      <formula>$J$53+$J$43="超过20%"</formula>
    </cfRule>
  </conditionalFormatting>
  <conditionalFormatting sqref="I44">
    <cfRule type="expression" dxfId="29" priority="5" stopIfTrue="1">
      <formula>$J$44="超过30%"</formula>
    </cfRule>
  </conditionalFormatting>
  <conditionalFormatting sqref="F38">
    <cfRule type="expression" dxfId="28" priority="4">
      <formula>$D$38="简单平均"</formula>
    </cfRule>
  </conditionalFormatting>
  <conditionalFormatting sqref="H38">
    <cfRule type="expression" dxfId="27" priority="3">
      <formula>$D$38="简单平均"</formula>
    </cfRule>
  </conditionalFormatting>
  <conditionalFormatting sqref="J38">
    <cfRule type="expression" dxfId="26" priority="2">
      <formula>$D$38="简单平均"</formula>
    </cfRule>
  </conditionalFormatting>
  <conditionalFormatting sqref="F7:F36 H7:H36 J7:J36">
    <cfRule type="cellIs" dxfId="2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2" customWidth="1"/>
    <col min="12" max="12" width="12.25" style="443"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4"/>
      <c r="E1" s="684"/>
      <c r="F1" s="683" t="s">
        <v>1765</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1460</v>
      </c>
      <c r="B2" s="617" t="e">
        <f>F61</f>
        <v>#DIV/0!</v>
      </c>
      <c r="C2" s="906"/>
      <c r="D2" s="906"/>
      <c r="E2" s="906"/>
      <c r="F2" s="907"/>
      <c r="G2" s="906"/>
      <c r="H2" s="906"/>
      <c r="I2" s="906"/>
      <c r="J2" s="906"/>
      <c r="K2" s="908"/>
      <c r="L2" s="2725"/>
      <c r="M2" s="2726"/>
      <c r="N2" s="2726"/>
      <c r="O2" s="2726"/>
      <c r="P2" s="697"/>
      <c r="Q2" s="697"/>
      <c r="R2" s="697"/>
      <c r="S2" s="697"/>
      <c r="T2" s="697"/>
      <c r="U2" s="697"/>
      <c r="V2" s="697"/>
      <c r="W2" s="697"/>
      <c r="X2" s="697"/>
      <c r="Y2" s="697"/>
      <c r="Z2" s="697"/>
      <c r="AA2" s="697"/>
      <c r="AB2" s="697"/>
      <c r="AC2" s="698"/>
    </row>
    <row r="3" spans="1:29" s="352" customFormat="1" ht="28.5" customHeight="1" thickBot="1">
      <c r="A3" s="203" t="s">
        <v>1462</v>
      </c>
      <c r="B3" s="556" t="e">
        <f>ROUND(IF(D3="",B2*10000/'数据-汇总表'!E3,B2*10000/D3),0)</f>
        <v>#DIV/0!</v>
      </c>
      <c r="C3" s="203" t="s">
        <v>1867</v>
      </c>
      <c r="D3" s="1190"/>
      <c r="E3" s="906"/>
      <c r="F3" s="907"/>
      <c r="G3" s="906"/>
      <c r="H3" s="906"/>
      <c r="I3" s="906"/>
      <c r="J3" s="906"/>
      <c r="K3" s="908"/>
      <c r="L3" s="2725"/>
      <c r="M3" s="2726"/>
      <c r="N3" s="2726"/>
      <c r="O3" s="2726"/>
      <c r="P3" s="697"/>
      <c r="Q3" s="697"/>
      <c r="R3" s="697"/>
      <c r="S3" s="697"/>
      <c r="T3" s="697"/>
      <c r="U3" s="697"/>
      <c r="V3" s="697"/>
      <c r="W3" s="697"/>
      <c r="X3" s="697"/>
      <c r="Y3" s="697"/>
      <c r="Z3" s="697"/>
      <c r="AA3" s="697"/>
      <c r="AB3" s="714"/>
      <c r="AC3" s="711"/>
    </row>
    <row r="4" spans="1:29" ht="15">
      <c r="A4" s="355" t="s">
        <v>1767</v>
      </c>
      <c r="B4" s="356"/>
      <c r="C4" s="3663" t="s">
        <v>1768</v>
      </c>
      <c r="D4" s="3675"/>
      <c r="E4" s="3676" t="s">
        <v>1769</v>
      </c>
      <c r="F4" s="3677"/>
      <c r="G4" s="3663" t="s">
        <v>1770</v>
      </c>
      <c r="H4" s="3675"/>
      <c r="I4" s="3663" t="s">
        <v>1771</v>
      </c>
      <c r="J4" s="3675"/>
      <c r="K4" s="557" t="s">
        <v>1772</v>
      </c>
      <c r="L4" s="2706"/>
      <c r="M4" s="2707"/>
      <c r="N4" s="2707"/>
      <c r="O4" s="2707"/>
      <c r="P4" s="3678" t="s">
        <v>1773</v>
      </c>
      <c r="Q4" s="3679"/>
      <c r="R4" s="3684" t="s">
        <v>1769</v>
      </c>
      <c r="S4" s="3685"/>
      <c r="T4" s="3684" t="s">
        <v>1770</v>
      </c>
      <c r="U4" s="3685"/>
      <c r="V4" s="3671" t="s">
        <v>1771</v>
      </c>
      <c r="W4" s="3671"/>
      <c r="X4" s="1352"/>
      <c r="Y4" s="3684" t="s">
        <v>1773</v>
      </c>
      <c r="Z4" s="3685"/>
      <c r="AA4" s="3672" t="s">
        <v>1769</v>
      </c>
      <c r="AB4" s="3673" t="s">
        <v>1770</v>
      </c>
      <c r="AC4" s="3672" t="s">
        <v>1771</v>
      </c>
    </row>
    <row r="5" spans="1:29" ht="15">
      <c r="A5" s="358"/>
      <c r="B5" s="359"/>
      <c r="C5" s="3692" t="s">
        <v>1671</v>
      </c>
      <c r="D5" s="3693"/>
      <c r="E5" s="3699" t="s">
        <v>1672</v>
      </c>
      <c r="F5" s="3700"/>
      <c r="G5" s="3692" t="s">
        <v>1673</v>
      </c>
      <c r="H5" s="3693"/>
      <c r="I5" s="3692" t="s">
        <v>1674</v>
      </c>
      <c r="J5" s="3693"/>
      <c r="K5" s="557"/>
      <c r="L5" s="2706"/>
      <c r="M5" s="2707"/>
      <c r="N5" s="2707"/>
      <c r="O5" s="2707"/>
      <c r="P5" s="3680"/>
      <c r="Q5" s="3681"/>
      <c r="R5" s="3686"/>
      <c r="S5" s="3687"/>
      <c r="T5" s="3686"/>
      <c r="U5" s="3687"/>
      <c r="V5" s="3671"/>
      <c r="W5" s="3671"/>
      <c r="X5" s="1352"/>
      <c r="Y5" s="3686"/>
      <c r="Z5" s="3687"/>
      <c r="AA5" s="3673"/>
      <c r="AB5" s="3673"/>
      <c r="AC5" s="3673"/>
    </row>
    <row r="6" spans="1:29" ht="15.75" thickBot="1">
      <c r="A6" s="360"/>
      <c r="B6" s="361"/>
      <c r="C6" s="3752" t="s">
        <v>1917</v>
      </c>
      <c r="D6" s="3753"/>
      <c r="E6" s="3754" t="s">
        <v>1917</v>
      </c>
      <c r="F6" s="3755"/>
      <c r="G6" s="3752" t="s">
        <v>1917</v>
      </c>
      <c r="H6" s="3753"/>
      <c r="I6" s="3752" t="s">
        <v>1917</v>
      </c>
      <c r="J6" s="3753"/>
      <c r="K6" s="557" t="s">
        <v>1676</v>
      </c>
      <c r="L6" s="2706"/>
      <c r="M6" s="2707"/>
      <c r="N6" s="2707"/>
      <c r="O6" s="2707"/>
      <c r="P6" s="3682"/>
      <c r="Q6" s="3683"/>
      <c r="R6" s="3686"/>
      <c r="S6" s="3687"/>
      <c r="T6" s="3688"/>
      <c r="U6" s="3689"/>
      <c r="V6" s="3671"/>
      <c r="W6" s="3671"/>
      <c r="X6" s="1352"/>
      <c r="Y6" s="3688"/>
      <c r="Z6" s="3689"/>
      <c r="AA6" s="3674"/>
      <c r="AB6" s="3674"/>
      <c r="AC6" s="3674"/>
    </row>
    <row r="7" spans="1:29" s="108" customFormat="1" ht="15.75" thickBot="1">
      <c r="A7" s="362" t="s">
        <v>1677</v>
      </c>
      <c r="B7" s="363"/>
      <c r="C7" s="364">
        <f>'数据-取费表'!B2</f>
        <v>45576</v>
      </c>
      <c r="D7" s="365">
        <v>100</v>
      </c>
      <c r="E7" s="366"/>
      <c r="F7" s="367">
        <f>SUMIF(65:65,YEAR(E7)&amp;"-"&amp;INT((MONTH(E7)+2)/3),66:66)</f>
        <v>0</v>
      </c>
      <c r="G7" s="1968"/>
      <c r="H7" s="365">
        <f>SUMIF(65:65,YEAR(G7)&amp;"-"&amp;INT((MONTH(G7)+2)/3),66:66)</f>
        <v>0</v>
      </c>
      <c r="I7" s="1968"/>
      <c r="J7" s="365">
        <f>SUMIF(65:65,YEAR(I7)&amp;"-"&amp;INT((MONTH(I7)+2)/3),66:66)</f>
        <v>0</v>
      </c>
      <c r="K7" s="558"/>
      <c r="L7" s="2708"/>
      <c r="M7" s="2709"/>
      <c r="N7" s="2709"/>
      <c r="O7" s="2709"/>
      <c r="P7" s="3694" t="s">
        <v>1678</v>
      </c>
      <c r="Q7" s="3696"/>
      <c r="R7" s="699" t="s">
        <v>14</v>
      </c>
      <c r="S7" s="700">
        <f t="shared" ref="S7:S15" si="0">F7</f>
        <v>0</v>
      </c>
      <c r="T7" s="699" t="s">
        <v>14</v>
      </c>
      <c r="U7" s="700">
        <f t="shared" ref="U7:U15" si="1">H7</f>
        <v>0</v>
      </c>
      <c r="V7" s="699" t="s">
        <v>14</v>
      </c>
      <c r="W7" s="700">
        <f t="shared" ref="W7:W15" si="2">J7</f>
        <v>0</v>
      </c>
      <c r="X7" s="701"/>
      <c r="Y7" s="3694" t="s">
        <v>1678</v>
      </c>
      <c r="Z7" s="3695"/>
      <c r="AA7" s="702" t="e">
        <f>D7/F7</f>
        <v>#DIV/0!</v>
      </c>
      <c r="AB7" s="702" t="e">
        <f>D7/H7</f>
        <v>#DIV/0!</v>
      </c>
      <c r="AC7" s="702"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58"/>
      <c r="L8" s="2708"/>
      <c r="M8" s="2709"/>
      <c r="N8" s="2709"/>
      <c r="O8" s="2709"/>
      <c r="P8" s="3694" t="s">
        <v>1681</v>
      </c>
      <c r="Q8" s="3695"/>
      <c r="R8" s="699" t="s">
        <v>14</v>
      </c>
      <c r="S8" s="700">
        <f t="shared" si="0"/>
        <v>0</v>
      </c>
      <c r="T8" s="699" t="s">
        <v>14</v>
      </c>
      <c r="U8" s="700">
        <f t="shared" si="1"/>
        <v>0</v>
      </c>
      <c r="V8" s="699" t="s">
        <v>14</v>
      </c>
      <c r="W8" s="700">
        <f t="shared" si="2"/>
        <v>0</v>
      </c>
      <c r="X8" s="701"/>
      <c r="Y8" s="3694" t="s">
        <v>1681</v>
      </c>
      <c r="Z8" s="3695"/>
      <c r="AA8" s="702" t="e">
        <f t="shared" ref="AA8:AA40" si="3">D8/F8</f>
        <v>#DIV/0!</v>
      </c>
      <c r="AB8" s="702" t="e">
        <f t="shared" ref="AB8:AB40" si="4">D8/H8</f>
        <v>#DIV/0!</v>
      </c>
      <c r="AC8" s="702" t="e">
        <f t="shared" ref="AC8:AC40" si="5">D8/J8</f>
        <v>#DIV/0!</v>
      </c>
    </row>
    <row r="9" spans="1:29" s="108" customFormat="1">
      <c r="A9" s="369" t="s">
        <v>1682</v>
      </c>
      <c r="B9" s="63" t="s">
        <v>1683</v>
      </c>
      <c r="C9" s="1971"/>
      <c r="D9" s="126">
        <v>100</v>
      </c>
      <c r="E9" s="1971"/>
      <c r="F9" s="126">
        <f>SUMIF(70:70,E9,71:71)-SUMIF(70:70,C9,71:71)+100</f>
        <v>100</v>
      </c>
      <c r="G9" s="1971"/>
      <c r="H9" s="126">
        <f>SUMIF(70:70,G9,71:71)-SUMIF(70:70,C9,71:71)+100</f>
        <v>100</v>
      </c>
      <c r="I9" s="1971"/>
      <c r="J9" s="126">
        <f>SUMIF(70:70,I9,71:71)-SUMIF(70:70,C9,71:71)+100</f>
        <v>100</v>
      </c>
      <c r="K9" s="558"/>
      <c r="L9" s="2708"/>
      <c r="M9" s="2709"/>
      <c r="N9" s="2709"/>
      <c r="O9" s="2763"/>
      <c r="P9" s="3666" t="s">
        <v>1684</v>
      </c>
      <c r="Q9" s="1340" t="str">
        <f t="shared" ref="Q9:Q15" si="6">B9</f>
        <v>用途</v>
      </c>
      <c r="R9" s="699" t="s">
        <v>14</v>
      </c>
      <c r="S9" s="700">
        <f t="shared" si="0"/>
        <v>100</v>
      </c>
      <c r="T9" s="699" t="s">
        <v>14</v>
      </c>
      <c r="U9" s="700">
        <f t="shared" si="1"/>
        <v>100</v>
      </c>
      <c r="V9" s="699" t="s">
        <v>14</v>
      </c>
      <c r="W9" s="700">
        <f t="shared" si="2"/>
        <v>100</v>
      </c>
      <c r="X9" s="701"/>
      <c r="Y9" s="3563" t="s">
        <v>1685</v>
      </c>
      <c r="Z9" s="52" t="str">
        <f t="shared" ref="Z9:Z15" si="7">Q9</f>
        <v>用途</v>
      </c>
      <c r="AA9" s="702">
        <f t="shared" si="3"/>
        <v>1</v>
      </c>
      <c r="AB9" s="702">
        <f t="shared" si="4"/>
        <v>1</v>
      </c>
      <c r="AC9" s="702">
        <f t="shared" si="5"/>
        <v>1</v>
      </c>
    </row>
    <row r="10" spans="1:29" s="378" customFormat="1" ht="27">
      <c r="A10" s="374"/>
      <c r="B10" s="375" t="s">
        <v>1686</v>
      </c>
      <c r="C10" s="383"/>
      <c r="D10" s="127">
        <v>100</v>
      </c>
      <c r="E10" s="383"/>
      <c r="F10" s="127">
        <f>ROUND(100/'数据-取费表'!G16,0)</f>
        <v>101</v>
      </c>
      <c r="G10" s="383"/>
      <c r="H10" s="127">
        <f>ROUND(100/'数据-取费表'!G16,0)</f>
        <v>101</v>
      </c>
      <c r="I10" s="383"/>
      <c r="J10" s="127">
        <f>ROUND(100/'数据-取费表'!G16,0)</f>
        <v>101</v>
      </c>
      <c r="K10" s="618"/>
      <c r="L10" s="2710"/>
      <c r="M10" s="2711"/>
      <c r="N10" s="2711"/>
      <c r="O10" s="2764"/>
      <c r="P10" s="3666"/>
      <c r="Q10" s="1340" t="str">
        <f t="shared" si="6"/>
        <v>土地使用年限（年）</v>
      </c>
      <c r="R10" s="699" t="s">
        <v>14</v>
      </c>
      <c r="S10" s="700">
        <f t="shared" si="0"/>
        <v>101</v>
      </c>
      <c r="T10" s="699" t="s">
        <v>14</v>
      </c>
      <c r="U10" s="700">
        <f t="shared" si="1"/>
        <v>101</v>
      </c>
      <c r="V10" s="699" t="s">
        <v>14</v>
      </c>
      <c r="W10" s="700">
        <f t="shared" si="2"/>
        <v>101</v>
      </c>
      <c r="X10" s="701"/>
      <c r="Y10" s="3563"/>
      <c r="Z10" s="52" t="str">
        <f t="shared" si="7"/>
        <v>土地使用年限（年）</v>
      </c>
      <c r="AA10" s="702">
        <f t="shared" si="3"/>
        <v>0.99009900990099009</v>
      </c>
      <c r="AB10" s="702">
        <f t="shared" si="4"/>
        <v>0.99009900990099009</v>
      </c>
      <c r="AC10" s="702">
        <f t="shared" si="5"/>
        <v>0.99009900990099009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19"/>
      <c r="L11" s="2712"/>
      <c r="M11" s="2707"/>
      <c r="N11" s="2707"/>
      <c r="O11" s="2765"/>
      <c r="P11" s="3666"/>
      <c r="Q11" s="1340" t="str">
        <f t="shared" si="6"/>
        <v>容积率</v>
      </c>
      <c r="R11" s="699" t="s">
        <v>14</v>
      </c>
      <c r="S11" s="700" t="e">
        <f t="shared" si="0"/>
        <v>#N/A</v>
      </c>
      <c r="T11" s="699" t="s">
        <v>14</v>
      </c>
      <c r="U11" s="700" t="e">
        <f t="shared" si="1"/>
        <v>#N/A</v>
      </c>
      <c r="V11" s="699" t="s">
        <v>14</v>
      </c>
      <c r="W11" s="700" t="e">
        <f t="shared" si="2"/>
        <v>#N/A</v>
      </c>
      <c r="X11" s="701"/>
      <c r="Y11" s="3563"/>
      <c r="Z11" s="52" t="str">
        <f t="shared" si="7"/>
        <v>容积率</v>
      </c>
      <c r="AA11" s="702" t="e">
        <f t="shared" si="3"/>
        <v>#N/A</v>
      </c>
      <c r="AB11" s="702" t="e">
        <f t="shared" si="4"/>
        <v>#N/A</v>
      </c>
      <c r="AC11" s="702" t="e">
        <f t="shared" si="5"/>
        <v>#N/A</v>
      </c>
    </row>
    <row r="12" spans="1:29" s="108" customFormat="1" ht="15">
      <c r="A12" s="382"/>
      <c r="B12" s="1889">
        <v>111</v>
      </c>
      <c r="C12" s="383"/>
      <c r="D12" s="384">
        <v>100</v>
      </c>
      <c r="E12" s="496"/>
      <c r="F12" s="127">
        <f>SUMIF(77:77,E12,78:78)-SUMIF(77:77,C12,78:78)+100</f>
        <v>100</v>
      </c>
      <c r="G12" s="620"/>
      <c r="H12" s="127">
        <f>SUMIF(77:77,G12,78:78)-SUMIF(77:77,C12,78:78)+100</f>
        <v>100</v>
      </c>
      <c r="I12" s="496"/>
      <c r="J12" s="127">
        <f>SUMIF(77:77,I12,78:78)-SUMIF(77:77,C12,78:78)+100</f>
        <v>100</v>
      </c>
      <c r="K12" s="618"/>
      <c r="L12" s="2708"/>
      <c r="M12" s="2709"/>
      <c r="N12" s="2709"/>
      <c r="O12" s="2763"/>
      <c r="P12" s="3666"/>
      <c r="Q12" s="1340">
        <f t="shared" si="6"/>
        <v>111</v>
      </c>
      <c r="R12" s="699" t="s">
        <v>14</v>
      </c>
      <c r="S12" s="700">
        <f t="shared" si="0"/>
        <v>100</v>
      </c>
      <c r="T12" s="699" t="s">
        <v>14</v>
      </c>
      <c r="U12" s="700">
        <f t="shared" si="1"/>
        <v>100</v>
      </c>
      <c r="V12" s="699" t="s">
        <v>14</v>
      </c>
      <c r="W12" s="700">
        <f t="shared" si="2"/>
        <v>100</v>
      </c>
      <c r="X12" s="701"/>
      <c r="Y12" s="3563"/>
      <c r="Z12" s="52">
        <f t="shared" si="7"/>
        <v>111</v>
      </c>
      <c r="AA12" s="702">
        <f>D12/F12</f>
        <v>1</v>
      </c>
      <c r="AB12" s="702">
        <f>D12/H12</f>
        <v>1</v>
      </c>
      <c r="AC12" s="702">
        <f>D12/J12</f>
        <v>1</v>
      </c>
    </row>
    <row r="13" spans="1:29" ht="15">
      <c r="A13" s="379"/>
      <c r="B13" s="1889">
        <v>111</v>
      </c>
      <c r="C13" s="385"/>
      <c r="D13" s="386">
        <v>100</v>
      </c>
      <c r="E13" s="496"/>
      <c r="F13" s="127">
        <f>SUMIF(79:79,E13,80:80)-SUMIF(79:79,C13,80:80)+100</f>
        <v>100</v>
      </c>
      <c r="G13" s="620"/>
      <c r="H13" s="386">
        <f>SUMIF(79:79,G13,80:80)-SUMIF(79:79,C13,80:80)+100</f>
        <v>100</v>
      </c>
      <c r="I13" s="496"/>
      <c r="J13" s="386">
        <f>SUMIF(79:79,I13,80:80)-SUMIF(79:79,C13,80:80)+100</f>
        <v>100</v>
      </c>
      <c r="K13" s="618"/>
      <c r="L13" s="2713"/>
      <c r="M13" s="2707"/>
      <c r="N13" s="2707"/>
      <c r="O13" s="2765"/>
      <c r="P13" s="3666"/>
      <c r="Q13" s="1340">
        <f t="shared" si="6"/>
        <v>111</v>
      </c>
      <c r="R13" s="699" t="s">
        <v>14</v>
      </c>
      <c r="S13" s="700">
        <f t="shared" si="0"/>
        <v>100</v>
      </c>
      <c r="T13" s="699" t="s">
        <v>14</v>
      </c>
      <c r="U13" s="700">
        <f t="shared" si="1"/>
        <v>100</v>
      </c>
      <c r="V13" s="699" t="s">
        <v>14</v>
      </c>
      <c r="W13" s="700">
        <f t="shared" si="2"/>
        <v>100</v>
      </c>
      <c r="X13" s="701"/>
      <c r="Y13" s="3563"/>
      <c r="Z13" s="52">
        <f t="shared" si="7"/>
        <v>111</v>
      </c>
      <c r="AA13" s="702">
        <f t="shared" si="3"/>
        <v>1</v>
      </c>
      <c r="AB13" s="702">
        <f t="shared" si="4"/>
        <v>1</v>
      </c>
      <c r="AC13" s="702">
        <f t="shared" si="5"/>
        <v>1</v>
      </c>
    </row>
    <row r="14" spans="1:29" ht="15.75" thickBot="1">
      <c r="A14" s="387"/>
      <c r="B14" s="1891">
        <v>111</v>
      </c>
      <c r="C14" s="388"/>
      <c r="D14" s="389">
        <v>100</v>
      </c>
      <c r="E14" s="496"/>
      <c r="F14" s="389">
        <f>SUMIF(81:81,E14,82:82)-SUMIF(81:81,C14,82:82)+100</f>
        <v>100</v>
      </c>
      <c r="G14" s="620"/>
      <c r="H14" s="389">
        <f>SUMIF(81:81,G14,82:82)-SUMIF(81:81,C14,82:82)+100</f>
        <v>100</v>
      </c>
      <c r="I14" s="496"/>
      <c r="J14" s="389">
        <f>SUMIF(81:81,I14,82:82)-SUMIF(81:81,C14,82:82)+100</f>
        <v>100</v>
      </c>
      <c r="K14" s="618"/>
      <c r="L14" s="2713"/>
      <c r="M14" s="2707"/>
      <c r="N14" s="2707"/>
      <c r="O14" s="2765"/>
      <c r="P14" s="3666"/>
      <c r="Q14" s="1340">
        <f t="shared" si="6"/>
        <v>111</v>
      </c>
      <c r="R14" s="699" t="s">
        <v>14</v>
      </c>
      <c r="S14" s="700">
        <f t="shared" si="0"/>
        <v>100</v>
      </c>
      <c r="T14" s="699" t="s">
        <v>14</v>
      </c>
      <c r="U14" s="700">
        <f t="shared" si="1"/>
        <v>100</v>
      </c>
      <c r="V14" s="699" t="s">
        <v>14</v>
      </c>
      <c r="W14" s="700">
        <f t="shared" si="2"/>
        <v>100</v>
      </c>
      <c r="X14" s="701"/>
      <c r="Y14" s="3563"/>
      <c r="Z14" s="52">
        <f t="shared" si="7"/>
        <v>111</v>
      </c>
      <c r="AA14" s="702">
        <f t="shared" si="3"/>
        <v>1</v>
      </c>
      <c r="AB14" s="702">
        <f t="shared" si="4"/>
        <v>1</v>
      </c>
      <c r="AC14" s="702">
        <f t="shared" si="5"/>
        <v>1</v>
      </c>
    </row>
    <row r="15" spans="1:29" ht="57">
      <c r="A15" s="391" t="s">
        <v>1688</v>
      </c>
      <c r="B15" s="575" t="s">
        <v>1918</v>
      </c>
      <c r="C15" s="1965"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19"/>
      <c r="L15" s="2713"/>
      <c r="M15" s="2707"/>
      <c r="N15" s="2707"/>
      <c r="O15" s="2765"/>
      <c r="P15" s="3667" t="s">
        <v>1689</v>
      </c>
      <c r="Q15" s="1349" t="str">
        <f t="shared" si="6"/>
        <v>产业集聚程度</v>
      </c>
      <c r="R15" s="703" t="s">
        <v>14</v>
      </c>
      <c r="S15" s="704">
        <f t="shared" si="0"/>
        <v>100</v>
      </c>
      <c r="T15" s="703" t="s">
        <v>14</v>
      </c>
      <c r="U15" s="704">
        <f t="shared" si="1"/>
        <v>100</v>
      </c>
      <c r="V15" s="703" t="s">
        <v>14</v>
      </c>
      <c r="W15" s="704">
        <f t="shared" si="2"/>
        <v>100</v>
      </c>
      <c r="X15" s="1352"/>
      <c r="Y15" s="3667" t="s">
        <v>1689</v>
      </c>
      <c r="Z15" s="1353" t="str">
        <f t="shared" si="7"/>
        <v>产业集聚程度</v>
      </c>
      <c r="AA15" s="1350">
        <f t="shared" si="3"/>
        <v>1</v>
      </c>
      <c r="AB15" s="1350">
        <f t="shared" si="4"/>
        <v>1</v>
      </c>
      <c r="AC15" s="1350">
        <f t="shared" si="5"/>
        <v>1</v>
      </c>
    </row>
    <row r="16" spans="1:29" ht="15">
      <c r="A16" s="379"/>
      <c r="B16" s="576"/>
      <c r="C16" s="398"/>
      <c r="D16" s="399"/>
      <c r="E16" s="1900"/>
      <c r="F16" s="399"/>
      <c r="G16" s="1900"/>
      <c r="H16" s="401"/>
      <c r="I16" s="1900"/>
      <c r="J16" s="399"/>
      <c r="K16" s="618"/>
      <c r="L16" s="2713"/>
      <c r="M16" s="2707"/>
      <c r="N16" s="2707"/>
      <c r="O16" s="2765"/>
      <c r="P16" s="3668"/>
      <c r="Q16" s="1349"/>
      <c r="R16" s="703"/>
      <c r="S16" s="704"/>
      <c r="T16" s="703"/>
      <c r="U16" s="704"/>
      <c r="V16" s="703"/>
      <c r="W16" s="704"/>
      <c r="X16" s="1352"/>
      <c r="Y16" s="3668"/>
      <c r="Z16" s="1353"/>
      <c r="AA16" s="1350">
        <v>1</v>
      </c>
      <c r="AB16" s="1350">
        <v>1</v>
      </c>
      <c r="AC16" s="1350">
        <v>1</v>
      </c>
    </row>
    <row r="17" spans="1:29" ht="85.5">
      <c r="A17" s="379"/>
      <c r="B17" s="577"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19"/>
      <c r="L17" s="2713"/>
      <c r="M17" s="2707"/>
      <c r="N17" s="2707"/>
      <c r="O17" s="2765"/>
      <c r="P17" s="3668"/>
      <c r="Q17" s="1349" t="str">
        <f>B17</f>
        <v>交通便捷度</v>
      </c>
      <c r="R17" s="703" t="s">
        <v>14</v>
      </c>
      <c r="S17" s="704">
        <f>F17</f>
        <v>100</v>
      </c>
      <c r="T17" s="703" t="s">
        <v>14</v>
      </c>
      <c r="U17" s="704">
        <f>H17</f>
        <v>100</v>
      </c>
      <c r="V17" s="703" t="s">
        <v>14</v>
      </c>
      <c r="W17" s="704">
        <f>J17</f>
        <v>100</v>
      </c>
      <c r="X17" s="1352"/>
      <c r="Y17" s="3668"/>
      <c r="Z17" s="1353" t="str">
        <f>Q17</f>
        <v>交通便捷度</v>
      </c>
      <c r="AA17" s="1350">
        <f t="shared" si="3"/>
        <v>1</v>
      </c>
      <c r="AB17" s="1350">
        <f t="shared" si="4"/>
        <v>1</v>
      </c>
      <c r="AC17" s="1350">
        <f t="shared" si="5"/>
        <v>1</v>
      </c>
    </row>
    <row r="18" spans="1:29" ht="15">
      <c r="A18" s="379"/>
      <c r="B18" s="578"/>
      <c r="C18" s="398"/>
      <c r="D18" s="399"/>
      <c r="E18" s="1894"/>
      <c r="F18" s="399"/>
      <c r="G18" s="1894"/>
      <c r="H18" s="399"/>
      <c r="I18" s="1893"/>
      <c r="J18" s="399"/>
      <c r="K18" s="618"/>
      <c r="L18" s="2713"/>
      <c r="M18" s="2707"/>
      <c r="N18" s="2707"/>
      <c r="O18" s="2765"/>
      <c r="P18" s="3668"/>
      <c r="Q18" s="1349"/>
      <c r="R18" s="703"/>
      <c r="S18" s="704"/>
      <c r="T18" s="703"/>
      <c r="U18" s="704"/>
      <c r="V18" s="703"/>
      <c r="W18" s="704"/>
      <c r="X18" s="1352"/>
      <c r="Y18" s="3668"/>
      <c r="Z18" s="1353"/>
      <c r="AA18" s="1350">
        <v>1</v>
      </c>
      <c r="AB18" s="1350">
        <v>1</v>
      </c>
      <c r="AC18" s="1350">
        <v>1</v>
      </c>
    </row>
    <row r="19" spans="1:29" ht="15">
      <c r="A19" s="379"/>
      <c r="B19" s="577"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19"/>
      <c r="L19" s="2713"/>
      <c r="M19" s="2707"/>
      <c r="N19" s="2707"/>
      <c r="O19" s="2765"/>
      <c r="P19" s="3668"/>
      <c r="Q19" s="1349" t="str">
        <f t="shared" ref="Q19:Q33" si="8">B19</f>
        <v>区域土地利用方向</v>
      </c>
      <c r="R19" s="703" t="s">
        <v>14</v>
      </c>
      <c r="S19" s="704">
        <f>F19</f>
        <v>100</v>
      </c>
      <c r="T19" s="703" t="s">
        <v>14</v>
      </c>
      <c r="U19" s="704">
        <f>H19</f>
        <v>100</v>
      </c>
      <c r="V19" s="703" t="s">
        <v>14</v>
      </c>
      <c r="W19" s="704">
        <f>J19</f>
        <v>100</v>
      </c>
      <c r="X19" s="1352"/>
      <c r="Y19" s="3668"/>
      <c r="Z19" s="1353" t="str">
        <f>Q19</f>
        <v>区域土地利用方向</v>
      </c>
      <c r="AA19" s="1350">
        <f t="shared" si="3"/>
        <v>1</v>
      </c>
      <c r="AB19" s="1350">
        <f t="shared" si="4"/>
        <v>1</v>
      </c>
      <c r="AC19" s="1350">
        <f t="shared" si="5"/>
        <v>1</v>
      </c>
    </row>
    <row r="20" spans="1:29" ht="15">
      <c r="A20" s="358"/>
      <c r="B20" s="578"/>
      <c r="C20" s="398"/>
      <c r="D20" s="399"/>
      <c r="E20" s="1894"/>
      <c r="F20" s="399"/>
      <c r="G20" s="1894"/>
      <c r="H20" s="399"/>
      <c r="I20" s="1894"/>
      <c r="J20" s="399"/>
      <c r="K20" s="738"/>
      <c r="L20" s="2713"/>
      <c r="M20" s="2707"/>
      <c r="N20" s="2707"/>
      <c r="O20" s="2765"/>
      <c r="P20" s="3668"/>
      <c r="Q20" s="1349"/>
      <c r="R20" s="703"/>
      <c r="S20" s="704"/>
      <c r="T20" s="703"/>
      <c r="U20" s="704"/>
      <c r="V20" s="703"/>
      <c r="W20" s="704"/>
      <c r="X20" s="1352"/>
      <c r="Y20" s="3668"/>
      <c r="Z20" s="1353"/>
      <c r="AA20" s="1350"/>
      <c r="AB20" s="1350"/>
      <c r="AC20" s="1350"/>
    </row>
    <row r="21" spans="1:29" ht="71.25">
      <c r="A21" s="358"/>
      <c r="B21" s="577"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19"/>
      <c r="L21" s="2713"/>
      <c r="M21" s="2707"/>
      <c r="N21" s="2707"/>
      <c r="O21" s="2765"/>
      <c r="P21" s="3668"/>
      <c r="Q21" s="1349" t="str">
        <f t="shared" si="8"/>
        <v>环境状况</v>
      </c>
      <c r="R21" s="703" t="s">
        <v>14</v>
      </c>
      <c r="S21" s="704">
        <f>F21</f>
        <v>100</v>
      </c>
      <c r="T21" s="703" t="s">
        <v>14</v>
      </c>
      <c r="U21" s="704">
        <f>H21</f>
        <v>100</v>
      </c>
      <c r="V21" s="703" t="s">
        <v>14</v>
      </c>
      <c r="W21" s="704">
        <f>J21</f>
        <v>100</v>
      </c>
      <c r="X21" s="1352"/>
      <c r="Y21" s="3668"/>
      <c r="Z21" s="1353" t="str">
        <f>Q21</f>
        <v>环境状况</v>
      </c>
      <c r="AA21" s="1350">
        <f t="shared" si="3"/>
        <v>1</v>
      </c>
      <c r="AB21" s="1350">
        <f t="shared" si="4"/>
        <v>1</v>
      </c>
      <c r="AC21" s="1350">
        <f t="shared" si="5"/>
        <v>1</v>
      </c>
    </row>
    <row r="22" spans="1:29" ht="15">
      <c r="A22" s="358"/>
      <c r="B22" s="578"/>
      <c r="C22" s="398"/>
      <c r="D22" s="399"/>
      <c r="E22" s="1900"/>
      <c r="F22" s="399"/>
      <c r="G22" s="1900"/>
      <c r="H22" s="399"/>
      <c r="I22" s="398"/>
      <c r="J22" s="399"/>
      <c r="K22" s="618"/>
      <c r="L22" s="2713"/>
      <c r="M22" s="2707"/>
      <c r="N22" s="2707"/>
      <c r="O22" s="2765"/>
      <c r="P22" s="3668"/>
      <c r="Q22" s="1349"/>
      <c r="R22" s="703"/>
      <c r="S22" s="704"/>
      <c r="T22" s="703"/>
      <c r="U22" s="704"/>
      <c r="V22" s="703"/>
      <c r="W22" s="704"/>
      <c r="X22" s="1352"/>
      <c r="Y22" s="3668"/>
      <c r="Z22" s="1353"/>
      <c r="AA22" s="1350">
        <v>1</v>
      </c>
      <c r="AB22" s="1350">
        <v>1</v>
      </c>
      <c r="AC22" s="1350">
        <v>1</v>
      </c>
    </row>
    <row r="23" spans="1:29" s="108" customFormat="1" ht="42.75">
      <c r="A23" s="595"/>
      <c r="B23" s="579"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19"/>
      <c r="L23" s="2708"/>
      <c r="M23" s="2709"/>
      <c r="N23" s="2709"/>
      <c r="O23" s="2763"/>
      <c r="P23" s="3668"/>
      <c r="Q23" s="1340" t="str">
        <f t="shared" si="8"/>
        <v>公共配套设施</v>
      </c>
      <c r="R23" s="699" t="s">
        <v>14</v>
      </c>
      <c r="S23" s="700">
        <f>F23</f>
        <v>100</v>
      </c>
      <c r="T23" s="699" t="s">
        <v>14</v>
      </c>
      <c r="U23" s="700">
        <f>H23</f>
        <v>100</v>
      </c>
      <c r="V23" s="699" t="s">
        <v>14</v>
      </c>
      <c r="W23" s="700">
        <f>J23</f>
        <v>100</v>
      </c>
      <c r="X23" s="701"/>
      <c r="Y23" s="3668"/>
      <c r="Z23" s="52" t="str">
        <f>Q23</f>
        <v>公共配套设施</v>
      </c>
      <c r="AA23" s="1350">
        <f>D23/F23</f>
        <v>1</v>
      </c>
      <c r="AB23" s="1350">
        <f>D23/H23</f>
        <v>1</v>
      </c>
      <c r="AC23" s="1350">
        <f>D23/J23</f>
        <v>1</v>
      </c>
    </row>
    <row r="24" spans="1:29" s="108" customFormat="1" ht="15">
      <c r="A24" s="595"/>
      <c r="B24" s="578"/>
      <c r="C24" s="1972"/>
      <c r="D24" s="399"/>
      <c r="E24" s="1900"/>
      <c r="F24" s="399"/>
      <c r="G24" s="1900"/>
      <c r="H24" s="399"/>
      <c r="I24" s="398"/>
      <c r="J24" s="399"/>
      <c r="K24" s="618"/>
      <c r="L24" s="2708"/>
      <c r="M24" s="2709"/>
      <c r="N24" s="2709"/>
      <c r="O24" s="2763"/>
      <c r="P24" s="3668"/>
      <c r="Q24" s="1340"/>
      <c r="R24" s="699"/>
      <c r="S24" s="700"/>
      <c r="T24" s="699"/>
      <c r="U24" s="700"/>
      <c r="V24" s="699"/>
      <c r="W24" s="700"/>
      <c r="X24" s="701"/>
      <c r="Y24" s="3668"/>
      <c r="Z24" s="52"/>
      <c r="AA24" s="702">
        <v>1</v>
      </c>
      <c r="AB24" s="702">
        <v>1</v>
      </c>
      <c r="AC24" s="702">
        <v>1</v>
      </c>
    </row>
    <row r="25" spans="1:29" s="108" customFormat="1" ht="28.5">
      <c r="A25" s="595"/>
      <c r="B25" s="579"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19"/>
      <c r="L25" s="2708"/>
      <c r="M25" s="2709"/>
      <c r="N25" s="2709"/>
      <c r="O25" s="2763"/>
      <c r="P25" s="3668"/>
      <c r="Q25" s="1340" t="str">
        <f t="shared" ref="Q25" si="9">B25</f>
        <v>基础设施水平</v>
      </c>
      <c r="R25" s="699" t="s">
        <v>14</v>
      </c>
      <c r="S25" s="700">
        <f>F25</f>
        <v>100</v>
      </c>
      <c r="T25" s="699" t="s">
        <v>14</v>
      </c>
      <c r="U25" s="700">
        <f>H25</f>
        <v>100</v>
      </c>
      <c r="V25" s="699" t="s">
        <v>14</v>
      </c>
      <c r="W25" s="700">
        <f>J25</f>
        <v>100</v>
      </c>
      <c r="X25" s="701"/>
      <c r="Y25" s="3668"/>
      <c r="Z25" s="52" t="str">
        <f>Q25</f>
        <v>基础设施水平</v>
      </c>
      <c r="AA25" s="1350">
        <f>D25/F25</f>
        <v>1</v>
      </c>
      <c r="AB25" s="1350">
        <f>D25/H25</f>
        <v>1</v>
      </c>
      <c r="AC25" s="1350">
        <f>D25/J25</f>
        <v>1</v>
      </c>
    </row>
    <row r="26" spans="1:29" s="108" customFormat="1" ht="15">
      <c r="A26" s="595"/>
      <c r="B26" s="578"/>
      <c r="C26" s="1972"/>
      <c r="D26" s="399"/>
      <c r="E26" s="1973"/>
      <c r="F26" s="399"/>
      <c r="G26" s="1973"/>
      <c r="H26" s="399"/>
      <c r="I26" s="1973"/>
      <c r="J26" s="399"/>
      <c r="K26" s="618"/>
      <c r="L26" s="2708"/>
      <c r="M26" s="2709"/>
      <c r="N26" s="2709"/>
      <c r="O26" s="2763"/>
      <c r="P26" s="3668"/>
      <c r="Q26" s="1340"/>
      <c r="R26" s="699"/>
      <c r="S26" s="700"/>
      <c r="T26" s="699"/>
      <c r="U26" s="700"/>
      <c r="V26" s="699"/>
      <c r="W26" s="700"/>
      <c r="X26" s="701"/>
      <c r="Y26" s="3668"/>
      <c r="Z26" s="52"/>
      <c r="AA26" s="702">
        <v>1</v>
      </c>
      <c r="AB26" s="702">
        <v>1</v>
      </c>
      <c r="AC26" s="702">
        <v>1</v>
      </c>
    </row>
    <row r="27" spans="1:29" ht="15">
      <c r="A27" s="379"/>
      <c r="B27" s="578" t="s">
        <v>1778</v>
      </c>
      <c r="C27" s="563"/>
      <c r="D27" s="386">
        <v>100</v>
      </c>
      <c r="E27" s="580"/>
      <c r="F27" s="386">
        <f>SUMIF(95:95,E27,96:96)-SUMIF(95:95,C27,96:96)+100</f>
        <v>100</v>
      </c>
      <c r="G27" s="580"/>
      <c r="H27" s="386">
        <f>SUMIF(95:95,G27,96:96)-SUMIF(95:95,C27,96:96)+100</f>
        <v>100</v>
      </c>
      <c r="I27" s="580"/>
      <c r="J27" s="386">
        <f>SUMIF(95:95,I27,96:96)-SUMIF(95:95,C27,96:96)+100</f>
        <v>100</v>
      </c>
      <c r="K27" s="619"/>
      <c r="L27" s="2713"/>
      <c r="M27" s="2707"/>
      <c r="N27" s="2707"/>
      <c r="O27" s="2765"/>
      <c r="P27" s="3668"/>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68"/>
      <c r="Z27" s="1353" t="str">
        <f t="shared" ref="Z27:Z40" si="13">Q27</f>
        <v>临街状况</v>
      </c>
      <c r="AA27" s="1350">
        <f t="shared" si="3"/>
        <v>1</v>
      </c>
      <c r="AB27" s="1350">
        <f t="shared" si="4"/>
        <v>1</v>
      </c>
      <c r="AC27" s="1350">
        <f t="shared" si="5"/>
        <v>1</v>
      </c>
    </row>
    <row r="28" spans="1:29" ht="27">
      <c r="A28" s="379"/>
      <c r="B28" s="579" t="s">
        <v>1813</v>
      </c>
      <c r="C28" s="1985">
        <f>估价对象房地状况!G22</f>
        <v>0</v>
      </c>
      <c r="D28" s="401">
        <v>100</v>
      </c>
      <c r="E28" s="403"/>
      <c r="F28" s="401">
        <f>SUMIF(97:97,E29,98:98)-SUMIF(97:97,C29,98:98)+100</f>
        <v>100</v>
      </c>
      <c r="G28" s="403"/>
      <c r="H28" s="401">
        <f>SUMIF(97:97,G29,98:98)-SUMIF(97:97,C29,98:98)+100</f>
        <v>100</v>
      </c>
      <c r="I28" s="405"/>
      <c r="J28" s="401">
        <f>SUMIF(97:97,I29,98:98)-SUMIF(97:97,C29,98:98)+100</f>
        <v>100</v>
      </c>
      <c r="K28" s="619"/>
      <c r="L28" s="2713"/>
      <c r="M28" s="2707"/>
      <c r="N28" s="2707"/>
      <c r="O28" s="2765"/>
      <c r="P28" s="3668"/>
      <c r="Q28" s="1349" t="str">
        <f t="shared" si="8"/>
        <v>毗邻道路的类型与等级</v>
      </c>
      <c r="R28" s="703" t="s">
        <v>14</v>
      </c>
      <c r="S28" s="704">
        <f t="shared" si="10"/>
        <v>100</v>
      </c>
      <c r="T28" s="703" t="s">
        <v>14</v>
      </c>
      <c r="U28" s="704">
        <f t="shared" si="11"/>
        <v>100</v>
      </c>
      <c r="V28" s="703" t="s">
        <v>14</v>
      </c>
      <c r="W28" s="704">
        <f t="shared" si="12"/>
        <v>100</v>
      </c>
      <c r="X28" s="1352"/>
      <c r="Y28" s="3668"/>
      <c r="Z28" s="1353" t="str">
        <f t="shared" si="13"/>
        <v>毗邻道路的类型与等级</v>
      </c>
      <c r="AA28" s="1350">
        <f t="shared" si="3"/>
        <v>1</v>
      </c>
      <c r="AB28" s="1350">
        <f t="shared" si="4"/>
        <v>1</v>
      </c>
      <c r="AC28" s="1350">
        <f t="shared" si="5"/>
        <v>1</v>
      </c>
    </row>
    <row r="29" spans="1:29" ht="15">
      <c r="A29" s="379"/>
      <c r="B29" s="578"/>
      <c r="C29" s="398"/>
      <c r="D29" s="399"/>
      <c r="E29" s="1900"/>
      <c r="F29" s="399"/>
      <c r="G29" s="1900"/>
      <c r="H29" s="399"/>
      <c r="I29" s="1900"/>
      <c r="J29" s="399"/>
      <c r="K29" s="560"/>
      <c r="L29" s="2713"/>
      <c r="M29" s="2707"/>
      <c r="N29" s="2707"/>
      <c r="O29" s="2765"/>
      <c r="P29" s="3668"/>
      <c r="Q29" s="1349"/>
      <c r="R29" s="703"/>
      <c r="S29" s="704"/>
      <c r="T29" s="703"/>
      <c r="U29" s="704"/>
      <c r="V29" s="703"/>
      <c r="W29" s="704"/>
      <c r="X29" s="1352"/>
      <c r="Y29" s="3668"/>
      <c r="Z29" s="1353"/>
      <c r="AA29" s="1350">
        <v>1</v>
      </c>
      <c r="AB29" s="1350">
        <v>1</v>
      </c>
      <c r="AC29" s="1350">
        <v>1</v>
      </c>
    </row>
    <row r="30" spans="1:29" ht="15">
      <c r="A30" s="379"/>
      <c r="B30" s="600" t="s">
        <v>1871</v>
      </c>
      <c r="C30" s="1134">
        <f>估价对象房地状况!G23</f>
        <v>0</v>
      </c>
      <c r="D30" s="386">
        <v>100</v>
      </c>
      <c r="E30" s="580"/>
      <c r="F30" s="386">
        <f>SUMIF(99:99,E30,100:100)-SUMIF(99:99,C30,100:100)+100</f>
        <v>100</v>
      </c>
      <c r="G30" s="580"/>
      <c r="H30" s="386">
        <f>SUMIF(99:99,G30,100:100)-SUMIF(99:99,C30,100:100)+100</f>
        <v>100</v>
      </c>
      <c r="I30" s="580"/>
      <c r="J30" s="386">
        <f>SUMIF(99:99,I30,100:100)-SUMIF(99:99,C30,100:100)+100</f>
        <v>100</v>
      </c>
      <c r="K30" s="559"/>
      <c r="L30" s="2713"/>
      <c r="M30" s="2707"/>
      <c r="N30" s="2707"/>
      <c r="O30" s="2765"/>
      <c r="P30" s="3668"/>
      <c r="Q30" s="1349" t="str">
        <f t="shared" si="8"/>
        <v>土地级别</v>
      </c>
      <c r="R30" s="703" t="s">
        <v>14</v>
      </c>
      <c r="S30" s="704">
        <f t="shared" si="10"/>
        <v>100</v>
      </c>
      <c r="T30" s="703" t="s">
        <v>14</v>
      </c>
      <c r="U30" s="704">
        <f t="shared" si="11"/>
        <v>100</v>
      </c>
      <c r="V30" s="703" t="s">
        <v>14</v>
      </c>
      <c r="W30" s="704">
        <f t="shared" si="12"/>
        <v>100</v>
      </c>
      <c r="X30" s="1352"/>
      <c r="Y30" s="3668"/>
      <c r="Z30" s="1353" t="str">
        <f t="shared" si="13"/>
        <v>土地级别</v>
      </c>
      <c r="AA30" s="1350">
        <f t="shared" si="3"/>
        <v>1</v>
      </c>
      <c r="AB30" s="1350">
        <f t="shared" si="4"/>
        <v>1</v>
      </c>
      <c r="AC30" s="1350">
        <f t="shared" si="5"/>
        <v>1</v>
      </c>
    </row>
    <row r="31" spans="1:29" ht="15">
      <c r="A31" s="358"/>
      <c r="B31" s="1960">
        <v>111</v>
      </c>
      <c r="C31" s="620"/>
      <c r="D31" s="386">
        <v>100</v>
      </c>
      <c r="E31" s="426"/>
      <c r="F31" s="386">
        <f>SUMIF(101:101,E31,102:102)-SUMIF(101:101,C31,102:102)+100</f>
        <v>100</v>
      </c>
      <c r="G31" s="426"/>
      <c r="H31" s="386">
        <f>SUMIF(101:101,G31,102:102)-SUMIF(101:101,C31,102:102)+100</f>
        <v>100</v>
      </c>
      <c r="I31" s="496"/>
      <c r="J31" s="386">
        <f>SUMIF(101:101,I31,102:102)-SUMIF(101:101,C31,102:102)+100</f>
        <v>100</v>
      </c>
      <c r="K31" s="560"/>
      <c r="L31" s="2713"/>
      <c r="M31" s="2707"/>
      <c r="N31" s="2707"/>
      <c r="O31" s="2765"/>
      <c r="P31" s="3668"/>
      <c r="Q31" s="1349">
        <f t="shared" si="8"/>
        <v>111</v>
      </c>
      <c r="R31" s="703" t="s">
        <v>14</v>
      </c>
      <c r="S31" s="704">
        <f t="shared" si="10"/>
        <v>100</v>
      </c>
      <c r="T31" s="703" t="s">
        <v>14</v>
      </c>
      <c r="U31" s="704">
        <f t="shared" si="11"/>
        <v>100</v>
      </c>
      <c r="V31" s="703" t="s">
        <v>14</v>
      </c>
      <c r="W31" s="704">
        <f t="shared" si="12"/>
        <v>100</v>
      </c>
      <c r="X31" s="1352"/>
      <c r="Y31" s="3668"/>
      <c r="Z31" s="1353">
        <f t="shared" si="13"/>
        <v>111</v>
      </c>
      <c r="AA31" s="1350">
        <f t="shared" si="3"/>
        <v>1</v>
      </c>
      <c r="AB31" s="1350">
        <f t="shared" si="4"/>
        <v>1</v>
      </c>
      <c r="AC31" s="1350">
        <f t="shared" si="5"/>
        <v>1</v>
      </c>
    </row>
    <row r="32" spans="1:29" ht="15">
      <c r="A32" s="621"/>
      <c r="B32" s="1986">
        <v>111</v>
      </c>
      <c r="C32" s="620"/>
      <c r="D32" s="386">
        <v>100</v>
      </c>
      <c r="E32" s="426"/>
      <c r="F32" s="386">
        <f>SUMIF(103:103,E33,104:104)-SUMIF(103:103,C33,104:104)+100</f>
        <v>100</v>
      </c>
      <c r="G32" s="426"/>
      <c r="H32" s="386">
        <f>SUMIF(103:103,G32,104:104)-SUMIF(103:103,C32,104:104)+100</f>
        <v>100</v>
      </c>
      <c r="I32" s="620"/>
      <c r="J32" s="386">
        <f>SUMIF(103:103,I32,104:104)-SUMIF(103:103,C32,104:104)+100</f>
        <v>100</v>
      </c>
      <c r="K32" s="560"/>
      <c r="L32" s="2713"/>
      <c r="M32" s="2707"/>
      <c r="N32" s="2707"/>
      <c r="O32" s="2765"/>
      <c r="P32" s="3669" t="s">
        <v>1694</v>
      </c>
      <c r="Q32" s="1349">
        <f t="shared" si="8"/>
        <v>111</v>
      </c>
      <c r="R32" s="703" t="s">
        <v>14</v>
      </c>
      <c r="S32" s="704">
        <f t="shared" si="10"/>
        <v>100</v>
      </c>
      <c r="T32" s="703" t="s">
        <v>14</v>
      </c>
      <c r="U32" s="704">
        <f t="shared" si="11"/>
        <v>100</v>
      </c>
      <c r="V32" s="703" t="s">
        <v>14</v>
      </c>
      <c r="W32" s="704">
        <f t="shared" si="12"/>
        <v>100</v>
      </c>
      <c r="X32" s="1352"/>
      <c r="Y32" s="3670" t="s">
        <v>1694</v>
      </c>
      <c r="Z32" s="1353">
        <f t="shared" si="13"/>
        <v>111</v>
      </c>
      <c r="AA32" s="1350">
        <f t="shared" si="3"/>
        <v>1</v>
      </c>
      <c r="AB32" s="1350">
        <f t="shared" si="4"/>
        <v>1</v>
      </c>
      <c r="AC32" s="1350">
        <f t="shared" si="5"/>
        <v>1</v>
      </c>
    </row>
    <row r="33" spans="1:31" s="422" customFormat="1" ht="15.75" thickBot="1">
      <c r="A33" s="622"/>
      <c r="B33" s="1987">
        <v>111</v>
      </c>
      <c r="C33" s="624"/>
      <c r="D33" s="128">
        <v>100</v>
      </c>
      <c r="E33" s="647"/>
      <c r="F33" s="389">
        <f>SUMIF(105:105,E33,106:106)-SUMIF(105:105,C33,106:106)+100</f>
        <v>100</v>
      </c>
      <c r="G33" s="647"/>
      <c r="H33" s="389">
        <f>SUMIF(105:105,G33,106:106)-SUMIF(105:105,C33,106:106)+100</f>
        <v>100</v>
      </c>
      <c r="I33" s="624"/>
      <c r="J33" s="389">
        <f>SUMIF(105:105,I33,106:106)-SUMIF(105:105,C33,106:106)+100</f>
        <v>100</v>
      </c>
      <c r="K33" s="560"/>
      <c r="L33" s="2712"/>
      <c r="M33" s="2714"/>
      <c r="N33" s="2714"/>
      <c r="O33" s="2766"/>
      <c r="P33" s="3670"/>
      <c r="Q33" s="1349">
        <f t="shared" si="8"/>
        <v>111</v>
      </c>
      <c r="R33" s="706" t="s">
        <v>14</v>
      </c>
      <c r="S33" s="707">
        <f t="shared" si="10"/>
        <v>100</v>
      </c>
      <c r="T33" s="706" t="s">
        <v>14</v>
      </c>
      <c r="U33" s="707">
        <f t="shared" si="11"/>
        <v>100</v>
      </c>
      <c r="V33" s="706" t="s">
        <v>14</v>
      </c>
      <c r="W33" s="707">
        <f t="shared" si="12"/>
        <v>100</v>
      </c>
      <c r="X33" s="708"/>
      <c r="Y33" s="3670"/>
      <c r="Z33" s="709">
        <f t="shared" si="13"/>
        <v>111</v>
      </c>
      <c r="AA33" s="1350">
        <f t="shared" si="3"/>
        <v>1</v>
      </c>
      <c r="AB33" s="1350">
        <f t="shared" si="4"/>
        <v>1</v>
      </c>
      <c r="AC33" s="1350">
        <f t="shared" si="5"/>
        <v>1</v>
      </c>
    </row>
    <row r="34" spans="1:31" ht="15">
      <c r="A34" s="391" t="s">
        <v>1692</v>
      </c>
      <c r="B34" s="407" t="s">
        <v>1872</v>
      </c>
      <c r="C34" s="625"/>
      <c r="D34" s="418">
        <v>100</v>
      </c>
      <c r="E34" s="625"/>
      <c r="F34" s="418" t="e">
        <f>LOOKUP(E34,108:108,109:109)-LOOKUP(C34,108:108,109:109)+100</f>
        <v>#N/A</v>
      </c>
      <c r="G34" s="625"/>
      <c r="H34" s="418" t="e">
        <f>LOOKUP(G34,108:108,109:109)-LOOKUP(C34,108:108,109:109)+100</f>
        <v>#N/A</v>
      </c>
      <c r="I34" s="477"/>
      <c r="J34" s="418" t="e">
        <f>LOOKUP(I34,108:108,109:109)-LOOKUP(C34,108:108,109:109)+100</f>
        <v>#N/A</v>
      </c>
      <c r="K34" s="560"/>
      <c r="L34" s="2713"/>
      <c r="M34" s="2707"/>
      <c r="N34" s="2707"/>
      <c r="O34" s="2765"/>
      <c r="P34" s="3670"/>
      <c r="Q34" s="1349" t="str">
        <f>B34</f>
        <v>宗地面积</v>
      </c>
      <c r="R34" s="703" t="s">
        <v>14</v>
      </c>
      <c r="S34" s="704" t="e">
        <f t="shared" si="10"/>
        <v>#N/A</v>
      </c>
      <c r="T34" s="703" t="s">
        <v>14</v>
      </c>
      <c r="U34" s="704" t="e">
        <f t="shared" si="11"/>
        <v>#N/A</v>
      </c>
      <c r="V34" s="703" t="s">
        <v>14</v>
      </c>
      <c r="W34" s="704" t="e">
        <f t="shared" si="12"/>
        <v>#N/A</v>
      </c>
      <c r="X34" s="1352"/>
      <c r="Y34" s="3670"/>
      <c r="Z34" s="1353" t="str">
        <f t="shared" si="13"/>
        <v>宗地面积</v>
      </c>
      <c r="AA34" s="1350" t="e">
        <f t="shared" si="3"/>
        <v>#N/A</v>
      </c>
      <c r="AB34" s="1350" t="e">
        <f t="shared" si="4"/>
        <v>#N/A</v>
      </c>
      <c r="AC34" s="1350"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59"/>
      <c r="L35" s="2713"/>
      <c r="M35" s="2707"/>
      <c r="N35" s="2707"/>
      <c r="O35" s="2765"/>
      <c r="P35" s="3670"/>
      <c r="Q35" s="1349" t="str">
        <f t="shared" ref="Q35:Q40" si="14">B35</f>
        <v>宗地形状</v>
      </c>
      <c r="R35" s="703" t="s">
        <v>14</v>
      </c>
      <c r="S35" s="704">
        <f t="shared" si="10"/>
        <v>100</v>
      </c>
      <c r="T35" s="703" t="s">
        <v>14</v>
      </c>
      <c r="U35" s="704">
        <f t="shared" si="11"/>
        <v>100</v>
      </c>
      <c r="V35" s="703" t="s">
        <v>14</v>
      </c>
      <c r="W35" s="704">
        <f t="shared" si="12"/>
        <v>100</v>
      </c>
      <c r="X35" s="1352"/>
      <c r="Y35" s="3670"/>
      <c r="Z35" s="1353" t="str">
        <f t="shared" si="13"/>
        <v>宗地形状</v>
      </c>
      <c r="AA35" s="1350">
        <f t="shared" si="3"/>
        <v>1</v>
      </c>
      <c r="AB35" s="1350">
        <f t="shared" si="4"/>
        <v>1</v>
      </c>
      <c r="AC35" s="1350">
        <f t="shared" si="5"/>
        <v>1</v>
      </c>
    </row>
    <row r="36" spans="1:31" s="108" customFormat="1" ht="15">
      <c r="A36" s="424"/>
      <c r="B36" s="375" t="s">
        <v>1875</v>
      </c>
      <c r="C36" s="1974"/>
      <c r="D36" s="127">
        <v>100</v>
      </c>
      <c r="E36" s="1974"/>
      <c r="F36" s="386">
        <f>SUMIF(112:112,E36,113:113)-SUMIF(112:112,C36,113:113)+100</f>
        <v>100</v>
      </c>
      <c r="G36" s="1974"/>
      <c r="H36" s="386">
        <f>SUMIF(112:112,G36,113:113)-SUMIF(112:112,C36,113:113)+100</f>
        <v>100</v>
      </c>
      <c r="I36" s="1974"/>
      <c r="J36" s="386">
        <f>SUMIF(112:112,I36,113:113)-SUMIF(112:112,C36,113:113)+100</f>
        <v>100</v>
      </c>
      <c r="K36" s="559"/>
      <c r="L36" s="2708"/>
      <c r="M36" s="2709"/>
      <c r="N36" s="2709"/>
      <c r="O36" s="2763"/>
      <c r="P36" s="3670"/>
      <c r="Q36" s="1349" t="str">
        <f t="shared" si="14"/>
        <v>宗地开发程度</v>
      </c>
      <c r="R36" s="699" t="s">
        <v>14</v>
      </c>
      <c r="S36" s="700">
        <f t="shared" si="10"/>
        <v>100</v>
      </c>
      <c r="T36" s="699" t="s">
        <v>14</v>
      </c>
      <c r="U36" s="700">
        <f t="shared" si="11"/>
        <v>100</v>
      </c>
      <c r="V36" s="699" t="s">
        <v>14</v>
      </c>
      <c r="W36" s="700">
        <f t="shared" si="12"/>
        <v>100</v>
      </c>
      <c r="X36" s="701"/>
      <c r="Y36" s="3670"/>
      <c r="Z36" s="52" t="str">
        <f t="shared" si="13"/>
        <v>宗地开发程度</v>
      </c>
      <c r="AA36" s="702">
        <f t="shared" si="3"/>
        <v>1</v>
      </c>
      <c r="AB36" s="702">
        <f t="shared" si="4"/>
        <v>1</v>
      </c>
      <c r="AC36" s="702">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59"/>
      <c r="L37" s="2713"/>
      <c r="M37" s="2707"/>
      <c r="N37" s="2707"/>
      <c r="O37" s="2765"/>
      <c r="P37" s="3670" t="s">
        <v>1694</v>
      </c>
      <c r="Q37" s="1349" t="str">
        <f t="shared" si="14"/>
        <v>工程地质条件</v>
      </c>
      <c r="R37" s="703" t="s">
        <v>14</v>
      </c>
      <c r="S37" s="704">
        <f t="shared" si="10"/>
        <v>100</v>
      </c>
      <c r="T37" s="703" t="s">
        <v>14</v>
      </c>
      <c r="U37" s="704">
        <f t="shared" si="11"/>
        <v>100</v>
      </c>
      <c r="V37" s="703" t="s">
        <v>14</v>
      </c>
      <c r="W37" s="704">
        <f t="shared" si="12"/>
        <v>100</v>
      </c>
      <c r="X37" s="1352"/>
      <c r="Y37" s="3670" t="s">
        <v>1694</v>
      </c>
      <c r="Z37" s="1353" t="str">
        <f t="shared" si="13"/>
        <v>工程地质条件</v>
      </c>
      <c r="AA37" s="1350">
        <f t="shared" si="3"/>
        <v>1</v>
      </c>
      <c r="AB37" s="1350">
        <f t="shared" si="4"/>
        <v>1</v>
      </c>
      <c r="AC37" s="1350">
        <f t="shared" si="5"/>
        <v>1</v>
      </c>
    </row>
    <row r="38" spans="1:31" ht="15">
      <c r="A38" s="423"/>
      <c r="B38" s="1132">
        <v>111</v>
      </c>
      <c r="C38" s="620"/>
      <c r="D38" s="386">
        <v>100</v>
      </c>
      <c r="E38" s="620"/>
      <c r="F38" s="386">
        <f>SUMIF(116:116,E38,117:117)-SUMIF(116:116,C38,117:117)+100</f>
        <v>100</v>
      </c>
      <c r="G38" s="620"/>
      <c r="H38" s="386">
        <f>SUMIF(116:116,G38,117:117)-SUMIF(116:116,C38,117:117)+100</f>
        <v>100</v>
      </c>
      <c r="I38" s="496"/>
      <c r="J38" s="386">
        <f>SUMIF(116:116,I38,117:117)-SUMIF(116:116,C38,117:117)+100</f>
        <v>100</v>
      </c>
      <c r="K38" s="560"/>
      <c r="L38" s="2713"/>
      <c r="M38" s="2707"/>
      <c r="N38" s="2707"/>
      <c r="O38" s="2765"/>
      <c r="P38" s="3670"/>
      <c r="Q38" s="1349">
        <f t="shared" si="14"/>
        <v>111</v>
      </c>
      <c r="R38" s="703" t="s">
        <v>14</v>
      </c>
      <c r="S38" s="704">
        <f t="shared" si="10"/>
        <v>100</v>
      </c>
      <c r="T38" s="703" t="s">
        <v>14</v>
      </c>
      <c r="U38" s="704">
        <f t="shared" si="11"/>
        <v>100</v>
      </c>
      <c r="V38" s="703" t="s">
        <v>14</v>
      </c>
      <c r="W38" s="704">
        <f t="shared" si="12"/>
        <v>100</v>
      </c>
      <c r="X38" s="1352"/>
      <c r="Y38" s="3670"/>
      <c r="Z38" s="1353">
        <f t="shared" si="13"/>
        <v>111</v>
      </c>
      <c r="AA38" s="1350">
        <f t="shared" si="3"/>
        <v>1</v>
      </c>
      <c r="AB38" s="1350">
        <f t="shared" si="4"/>
        <v>1</v>
      </c>
      <c r="AC38" s="1350">
        <f t="shared" si="5"/>
        <v>1</v>
      </c>
    </row>
    <row r="39" spans="1:31" ht="15">
      <c r="A39" s="423"/>
      <c r="B39" s="1132">
        <v>111</v>
      </c>
      <c r="C39" s="620"/>
      <c r="D39" s="386">
        <v>100</v>
      </c>
      <c r="E39" s="620"/>
      <c r="F39" s="386">
        <f>SUMIF(118:118,E39,119:119)-SUMIF(118:118,C39,119:119)+100</f>
        <v>100</v>
      </c>
      <c r="G39" s="620"/>
      <c r="H39" s="386">
        <f>SUMIF(118:118,G39,119:119)-SUMIF(118:118,C39,119:119)+100</f>
        <v>100</v>
      </c>
      <c r="I39" s="496"/>
      <c r="J39" s="386">
        <f>SUMIF(118:118,I39,119:119)-SUMIF(118:118,C39,119:119)+100</f>
        <v>100</v>
      </c>
      <c r="K39" s="560"/>
      <c r="L39" s="2713"/>
      <c r="M39" s="2707"/>
      <c r="N39" s="2707"/>
      <c r="O39" s="2765"/>
      <c r="P39" s="3670"/>
      <c r="Q39" s="1349">
        <f t="shared" si="14"/>
        <v>111</v>
      </c>
      <c r="R39" s="703" t="s">
        <v>14</v>
      </c>
      <c r="S39" s="704">
        <f t="shared" si="10"/>
        <v>100</v>
      </c>
      <c r="T39" s="703" t="s">
        <v>14</v>
      </c>
      <c r="U39" s="704">
        <f t="shared" si="11"/>
        <v>100</v>
      </c>
      <c r="V39" s="703" t="s">
        <v>14</v>
      </c>
      <c r="W39" s="704">
        <f t="shared" si="12"/>
        <v>100</v>
      </c>
      <c r="X39" s="1352"/>
      <c r="Y39" s="3670"/>
      <c r="Z39" s="1353">
        <f t="shared" si="13"/>
        <v>111</v>
      </c>
      <c r="AA39" s="1350">
        <f t="shared" si="3"/>
        <v>1</v>
      </c>
      <c r="AB39" s="1350">
        <f t="shared" si="4"/>
        <v>1</v>
      </c>
      <c r="AC39" s="1350">
        <f t="shared" si="5"/>
        <v>1</v>
      </c>
    </row>
    <row r="40" spans="1:31" s="422" customFormat="1" ht="15.75" thickBot="1">
      <c r="A40" s="419"/>
      <c r="B40" s="1132">
        <v>111</v>
      </c>
      <c r="C40" s="1975"/>
      <c r="D40" s="128">
        <v>100</v>
      </c>
      <c r="E40" s="620"/>
      <c r="F40" s="389">
        <f>SUMIF(120:120,E40,121:121)-SUMIF(120:120,C40,121:121)+100</f>
        <v>100</v>
      </c>
      <c r="G40" s="620"/>
      <c r="H40" s="389">
        <f>SUMIF(120:120,G40,121:121)-SUMIF(120:120,C40,121:121)+100</f>
        <v>100</v>
      </c>
      <c r="I40" s="496"/>
      <c r="J40" s="389">
        <f>SUMIF(120:120,I40,121:121)-SUMIF(120:120,C40,121:121)+100</f>
        <v>100</v>
      </c>
      <c r="K40" s="627"/>
      <c r="L40" s="2712"/>
      <c r="M40" s="2714"/>
      <c r="N40" s="2714"/>
      <c r="O40" s="2766"/>
      <c r="P40" s="3670"/>
      <c r="Q40" s="1349">
        <f t="shared" si="14"/>
        <v>111</v>
      </c>
      <c r="R40" s="706" t="s">
        <v>14</v>
      </c>
      <c r="S40" s="707">
        <f t="shared" si="10"/>
        <v>100</v>
      </c>
      <c r="T40" s="706" t="s">
        <v>14</v>
      </c>
      <c r="U40" s="707">
        <f t="shared" si="11"/>
        <v>100</v>
      </c>
      <c r="V40" s="706" t="s">
        <v>14</v>
      </c>
      <c r="W40" s="707">
        <f t="shared" si="12"/>
        <v>100</v>
      </c>
      <c r="X40" s="708"/>
      <c r="Y40" s="3670"/>
      <c r="Z40" s="709">
        <f t="shared" si="13"/>
        <v>111</v>
      </c>
      <c r="AA40" s="1350">
        <f t="shared" si="3"/>
        <v>1</v>
      </c>
      <c r="AB40" s="1350">
        <f t="shared" si="4"/>
        <v>1</v>
      </c>
      <c r="AC40" s="1350">
        <f t="shared" si="5"/>
        <v>1</v>
      </c>
    </row>
    <row r="41" spans="1:31" ht="15">
      <c r="A41" s="428" t="s">
        <v>1842</v>
      </c>
      <c r="B41" s="1976" t="s">
        <v>1920</v>
      </c>
      <c r="C41" s="628" t="s">
        <v>0</v>
      </c>
      <c r="D41" s="430"/>
      <c r="E41" s="431"/>
      <c r="F41" s="432"/>
      <c r="G41" s="433"/>
      <c r="H41" s="434"/>
      <c r="I41" s="431"/>
      <c r="J41" s="434"/>
      <c r="K41" s="712"/>
      <c r="L41" s="2715"/>
      <c r="M41" s="2707"/>
      <c r="N41" s="2707"/>
      <c r="O41" s="2716"/>
      <c r="P41" s="3666" t="str">
        <f>A41</f>
        <v>成交单价</v>
      </c>
      <c r="Q41" s="3666"/>
      <c r="R41" s="3671">
        <f>E41</f>
        <v>0</v>
      </c>
      <c r="S41" s="3671"/>
      <c r="T41" s="3671">
        <f>G41</f>
        <v>0</v>
      </c>
      <c r="U41" s="3671"/>
      <c r="V41" s="3671">
        <f>I41</f>
        <v>0</v>
      </c>
      <c r="W41" s="3671"/>
      <c r="X41" s="688"/>
      <c r="Y41" s="710"/>
      <c r="Z41" s="688"/>
      <c r="AA41" s="688"/>
      <c r="AB41" s="688"/>
      <c r="AC41" s="688"/>
    </row>
    <row r="42" spans="1:31" ht="15.75" thickBot="1">
      <c r="A42" s="435" t="s">
        <v>1791</v>
      </c>
      <c r="B42" s="629"/>
      <c r="C42" s="438" t="e">
        <f>R43</f>
        <v>#DIV/0!</v>
      </c>
      <c r="D42" s="2311" t="s">
        <v>2136</v>
      </c>
      <c r="E42" s="438" t="e">
        <f>R42</f>
        <v>#DIV/0!</v>
      </c>
      <c r="F42" s="2312"/>
      <c r="G42" s="437" t="e">
        <f>T42</f>
        <v>#DIV/0!</v>
      </c>
      <c r="H42" s="2312"/>
      <c r="I42" s="438" t="e">
        <f>V42</f>
        <v>#DIV/0!</v>
      </c>
      <c r="J42" s="2312"/>
      <c r="K42" s="2314">
        <f>F42+H42+J42</f>
        <v>0</v>
      </c>
      <c r="L42" s="2715"/>
      <c r="M42" s="2707"/>
      <c r="N42" s="2707"/>
      <c r="O42" s="2716"/>
      <c r="P42" s="3666" t="str">
        <f>A42</f>
        <v>比较价值（元/平方米）</v>
      </c>
      <c r="Q42" s="3666"/>
      <c r="R42" s="3659" t="e">
        <f>ROUND(PRODUCT(R41,AA7:AA40),0)</f>
        <v>#DIV/0!</v>
      </c>
      <c r="S42" s="3659"/>
      <c r="T42" s="3659" t="e">
        <f>ROUND(PRODUCT(T41,AB7:AB40),0)</f>
        <v>#DIV/0!</v>
      </c>
      <c r="U42" s="3659"/>
      <c r="V42" s="3659" t="e">
        <f>ROUND(PRODUCT(V41,AC7:AC40),0)</f>
        <v>#DIV/0!</v>
      </c>
      <c r="W42" s="3659"/>
      <c r="X42" s="688"/>
      <c r="Y42" s="688"/>
      <c r="Z42" s="688"/>
      <c r="AA42" s="688"/>
      <c r="AB42" s="688"/>
      <c r="AC42" s="688"/>
    </row>
    <row r="43" spans="1:31" ht="15.75" thickBot="1">
      <c r="A43" s="439" t="s">
        <v>1792</v>
      </c>
      <c r="B43" s="440"/>
      <c r="C43" s="441" t="e">
        <f>R43</f>
        <v>#DIV/0!</v>
      </c>
      <c r="D43" s="441"/>
      <c r="E43" s="441"/>
      <c r="F43" s="441"/>
      <c r="G43" s="441"/>
      <c r="H43" s="441"/>
      <c r="I43" s="441"/>
      <c r="J43" s="441"/>
      <c r="K43" s="713"/>
      <c r="L43" s="2715"/>
      <c r="M43" s="2707"/>
      <c r="N43" s="2707"/>
      <c r="O43" s="2716"/>
      <c r="P43" s="3660" t="str">
        <f>A43</f>
        <v>估价对象XX用房的比较价值（楼面单价，元/平方米）</v>
      </c>
      <c r="Q43" s="3661"/>
      <c r="R43" s="3662" t="e">
        <f>ROUND(IF(D42="简单平均",AVERAGE(R42:W42),R42*F42+T42*H42+V42*J42),0)</f>
        <v>#DIV/0!</v>
      </c>
      <c r="S43" s="3662"/>
      <c r="T43" s="3662"/>
      <c r="U43" s="3662"/>
      <c r="V43" s="3662"/>
      <c r="W43" s="3662"/>
      <c r="X43" s="688"/>
      <c r="Y43" s="688"/>
      <c r="Z43" s="688"/>
      <c r="AA43" s="688"/>
      <c r="AB43" s="688"/>
      <c r="AC43" s="688"/>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4" t="s">
        <v>1793</v>
      </c>
      <c r="D46" s="445"/>
      <c r="E46" s="446" t="e">
        <f>IF(E41&lt;E42,E42/E41-1,E41/E42-1)</f>
        <v>#DIV/0!</v>
      </c>
      <c r="F46" s="447" t="e">
        <f>IF(OR(E46&gt;=0.3,E46&lt;=-0.3),"超过30%","")</f>
        <v>#DIV/0!</v>
      </c>
      <c r="G46" s="446" t="e">
        <f>IF(G41&lt;G42,G42/G41-1,G41/G42-1)</f>
        <v>#DIV/0!</v>
      </c>
      <c r="H46" s="447" t="e">
        <f>IF(OR(G46&gt;=0.3,G46&lt;=-0.3),"超过30%","")</f>
        <v>#DIV/0!</v>
      </c>
      <c r="I46" s="446" t="e">
        <f>IF(I41&lt;I42,I42/I41-1,I41/I42-1)</f>
        <v>#DIV/0!</v>
      </c>
      <c r="J46" s="447"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4" t="s">
        <v>1794</v>
      </c>
      <c r="D47" s="448"/>
      <c r="E47" s="446" t="e">
        <f>IF(E42&lt;G42,G42/E42-1,E42/G42-1)</f>
        <v>#DIV/0!</v>
      </c>
      <c r="F47" s="447" t="e">
        <f>IF(OR(E47&gt;=0.2,E47&lt;=-0.2),"超过20%","")</f>
        <v>#DIV/0!</v>
      </c>
      <c r="G47" s="446" t="e">
        <f>IF(G42&lt;I42,I42/G42-1,G42/I42-1)</f>
        <v>#DIV/0!</v>
      </c>
      <c r="H47" s="447" t="e">
        <f>IF(OR(G47&gt;=0.2,G47&lt;=-0.2),"超过20%","")</f>
        <v>#DIV/0!</v>
      </c>
      <c r="I47" s="446" t="e">
        <f>IF(I42&lt;E42,E42/I42-1,I42/E42-1)</f>
        <v>#DIV/0!</v>
      </c>
      <c r="J47" s="447"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49" customFormat="1" ht="13.5" customHeight="1">
      <c r="A48" s="2719"/>
      <c r="B48" s="2719"/>
      <c r="C48" s="444" t="s">
        <v>1795</v>
      </c>
      <c r="D48" s="448"/>
      <c r="E48" s="446" t="e">
        <f>IF(E41&lt;G41,G41/E41-1,E41/G41-1)</f>
        <v>#DIV/0!</v>
      </c>
      <c r="F48" s="447" t="e">
        <f>IF(OR(E48&gt;=0.3,E48&lt;=-0.3),"超过30%","")</f>
        <v>#DIV/0!</v>
      </c>
      <c r="G48" s="446" t="e">
        <f>IF(G41&lt;I41,I41/G41-1,G41/I41-1)</f>
        <v>#DIV/0!</v>
      </c>
      <c r="H48" s="447" t="e">
        <f>IF(OR(G48&gt;=0.3,G48&lt;=-0.3),"超过30%","")</f>
        <v>#DIV/0!</v>
      </c>
      <c r="I48" s="446" t="e">
        <f>IF(I41&lt;E41,E41/I41-1,I41/E41-1)</f>
        <v>#DIV/0!</v>
      </c>
      <c r="J48" s="447"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49" customFormat="1" ht="15" thickBot="1">
      <c r="A49" s="2719"/>
      <c r="B49" s="2722"/>
      <c r="C49" s="691"/>
      <c r="D49" s="689"/>
      <c r="E49" s="689"/>
      <c r="F49" s="689"/>
      <c r="G49" s="689"/>
      <c r="H49" s="689"/>
      <c r="I49" s="689"/>
      <c r="J49" s="689"/>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30" t="s">
        <v>1879</v>
      </c>
      <c r="B50" s="631" t="s">
        <v>1880</v>
      </c>
      <c r="C50" s="1977" t="s">
        <v>1881</v>
      </c>
      <c r="D50" s="1978" t="s">
        <v>1882</v>
      </c>
      <c r="E50" s="632" t="s">
        <v>1883</v>
      </c>
      <c r="F50" s="633" t="s">
        <v>1884</v>
      </c>
      <c r="G50" s="3663" t="s">
        <v>1885</v>
      </c>
      <c r="H50" s="3664"/>
      <c r="I50" s="1353" t="s">
        <v>1921</v>
      </c>
      <c r="J50" s="1353">
        <f>项目基本情况!F35</f>
        <v>0</v>
      </c>
      <c r="K50" s="1980" t="s">
        <v>1887</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38" customFormat="1">
      <c r="A51" s="634" t="s">
        <v>1888</v>
      </c>
      <c r="B51" s="635" t="e">
        <f>C43</f>
        <v>#DIV/0!</v>
      </c>
      <c r="C51" s="636">
        <v>1</v>
      </c>
      <c r="D51" s="942">
        <v>1</v>
      </c>
      <c r="E51" s="636">
        <f>'数据-汇总表'!E8+'数据-汇总表'!E9</f>
        <v>62293.630000000019</v>
      </c>
      <c r="F51" s="637" t="e">
        <f t="shared" ref="F51:F60" si="15">ROUND(B51*E51/10000,0)</f>
        <v>#DIV/0!</v>
      </c>
      <c r="G51" s="3665"/>
      <c r="H51" s="3666"/>
      <c r="I51" s="771">
        <v>1</v>
      </c>
      <c r="J51" s="771">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38" customFormat="1">
      <c r="A52" s="639" t="s">
        <v>1889</v>
      </c>
      <c r="B52" s="218" t="e">
        <f>ROUND($C$43*C52*D52,0)</f>
        <v>#DIV/0!</v>
      </c>
      <c r="C52" s="171">
        <f t="shared" ref="C52:C60" si="16">IF($C$50="北京市系数",I52,J52)</f>
        <v>0.6</v>
      </c>
      <c r="D52" s="943">
        <v>0.25</v>
      </c>
      <c r="E52" s="640"/>
      <c r="F52" s="637" t="e">
        <f t="shared" si="15"/>
        <v>#DIV/0!</v>
      </c>
      <c r="G52" s="2997" t="s">
        <v>1890</v>
      </c>
      <c r="H52" s="885" t="str">
        <f>项目基本情况!B37</f>
        <v>六级</v>
      </c>
      <c r="I52" s="771">
        <f>SUMIF(修正!A57:A68,H52,修正!B57:B68)</f>
        <v>0.6</v>
      </c>
      <c r="J52" s="772"/>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38" customFormat="1">
      <c r="A53" s="639" t="s">
        <v>1891</v>
      </c>
      <c r="B53" s="218" t="e">
        <f t="shared" ref="B53:B60" si="17">ROUND($C$43*C53*D53,0)</f>
        <v>#DIV/0!</v>
      </c>
      <c r="C53" s="171">
        <f t="shared" si="16"/>
        <v>0.3</v>
      </c>
      <c r="D53" s="943">
        <v>0.25</v>
      </c>
      <c r="E53" s="640"/>
      <c r="F53" s="637" t="e">
        <f t="shared" si="15"/>
        <v>#DIV/0!</v>
      </c>
      <c r="G53" s="2998"/>
      <c r="H53" s="885" t="str">
        <f>项目基本情况!B37</f>
        <v>六级</v>
      </c>
      <c r="I53" s="771">
        <f>SUMIF(修正!A57:A68,H53,修正!C57:C68)</f>
        <v>0.3</v>
      </c>
      <c r="J53" s="772"/>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38" customFormat="1">
      <c r="A54" s="639" t="s">
        <v>1892</v>
      </c>
      <c r="B54" s="218" t="e">
        <f t="shared" si="17"/>
        <v>#DIV/0!</v>
      </c>
      <c r="C54" s="171">
        <f t="shared" si="16"/>
        <v>0.25</v>
      </c>
      <c r="D54" s="943">
        <v>0.25</v>
      </c>
      <c r="E54" s="640"/>
      <c r="F54" s="637" t="e">
        <f t="shared" si="15"/>
        <v>#DIV/0!</v>
      </c>
      <c r="G54" s="2998"/>
      <c r="H54" s="885" t="str">
        <f>项目基本情况!B37</f>
        <v>六级</v>
      </c>
      <c r="I54" s="771">
        <f>SUMIF(修正!A57:A68,H54,修正!D57:D68)</f>
        <v>0.25</v>
      </c>
      <c r="J54" s="772"/>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38" customFormat="1" hidden="1">
      <c r="A55" s="639"/>
      <c r="B55" s="218"/>
      <c r="C55" s="171"/>
      <c r="D55" s="943"/>
      <c r="E55" s="640"/>
      <c r="F55" s="637"/>
      <c r="G55" s="2999"/>
      <c r="H55" s="885"/>
      <c r="I55" s="771"/>
      <c r="J55" s="772"/>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38" customFormat="1">
      <c r="A56" s="639" t="s">
        <v>1893</v>
      </c>
      <c r="B56" s="218" t="e">
        <f t="shared" si="17"/>
        <v>#DIV/0!</v>
      </c>
      <c r="C56" s="171">
        <f t="shared" si="16"/>
        <v>0.25</v>
      </c>
      <c r="D56" s="943">
        <v>0.25</v>
      </c>
      <c r="E56" s="217">
        <f>'数据-汇总表'!E11</f>
        <v>0</v>
      </c>
      <c r="F56" s="637" t="e">
        <f t="shared" si="15"/>
        <v>#DIV/0!</v>
      </c>
      <c r="G56" s="1981" t="s">
        <v>1894</v>
      </c>
      <c r="H56" s="885" t="str">
        <f>项目基本情况!C37</f>
        <v>六级</v>
      </c>
      <c r="I56" s="771">
        <f>SUMIF(修正!A57:A68,H56,修正!E57:E68)</f>
        <v>0.25</v>
      </c>
      <c r="J56" s="772"/>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38" customFormat="1">
      <c r="A57" s="639" t="s">
        <v>1895</v>
      </c>
      <c r="B57" s="218" t="e">
        <f t="shared" si="17"/>
        <v>#DIV/0!</v>
      </c>
      <c r="C57" s="171">
        <f t="shared" si="16"/>
        <v>0.25</v>
      </c>
      <c r="D57" s="943">
        <v>0.25</v>
      </c>
      <c r="E57" s="217">
        <f>'数据-汇总表'!E12</f>
        <v>21052.319999999996</v>
      </c>
      <c r="F57" s="637" t="e">
        <f t="shared" si="15"/>
        <v>#DIV/0!</v>
      </c>
      <c r="G57" s="890" t="s">
        <v>1896</v>
      </c>
      <c r="H57" s="885" t="str">
        <f>IF(G57="商业",项目基本情况!B37,IF(G57="办公",项目基本情况!C37,IF(G57="住宅",项目基本情况!D37,项目基本情况!E37)))</f>
        <v>六级</v>
      </c>
      <c r="I57" s="771">
        <f>SUMIF(修正!A57:A68,H57,修正!F57:F68)</f>
        <v>0.25</v>
      </c>
      <c r="J57" s="772"/>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38" customFormat="1">
      <c r="A58" s="639" t="s">
        <v>1897</v>
      </c>
      <c r="B58" s="218" t="e">
        <f t="shared" si="17"/>
        <v>#DIV/0!</v>
      </c>
      <c r="C58" s="171">
        <f t="shared" si="16"/>
        <v>0.15</v>
      </c>
      <c r="D58" s="943">
        <v>0.25</v>
      </c>
      <c r="E58" s="217">
        <f>'数据-汇总表'!E13</f>
        <v>21761.329999999823</v>
      </c>
      <c r="F58" s="637" t="e">
        <f t="shared" si="15"/>
        <v>#DIV/0!</v>
      </c>
      <c r="G58" s="890" t="s">
        <v>1898</v>
      </c>
      <c r="H58" s="885" t="str">
        <f>IF(G58="商业",项目基本情况!B37,IF(G58="办公",项目基本情况!C37,IF(G58="住宅",项目基本情况!D37,项目基本情况!E37)))</f>
        <v>六级</v>
      </c>
      <c r="I58" s="771">
        <f>SUMIF(修正!A57:A68,H58,修正!G57:G68)</f>
        <v>0.15</v>
      </c>
      <c r="J58" s="772"/>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38" customFormat="1">
      <c r="A59" s="639" t="s">
        <v>1899</v>
      </c>
      <c r="B59" s="218" t="e">
        <f t="shared" si="17"/>
        <v>#DIV/0!</v>
      </c>
      <c r="C59" s="171">
        <f t="shared" si="16"/>
        <v>0.15</v>
      </c>
      <c r="D59" s="943">
        <v>0.25</v>
      </c>
      <c r="E59" s="217">
        <f>'数据-汇总表'!E14</f>
        <v>0</v>
      </c>
      <c r="F59" s="637" t="e">
        <f t="shared" si="15"/>
        <v>#DIV/0!</v>
      </c>
      <c r="G59" s="1981" t="s">
        <v>1890</v>
      </c>
      <c r="H59" s="885" t="str">
        <f>项目基本情况!B37</f>
        <v>六级</v>
      </c>
      <c r="I59" s="771">
        <f>SUMIF(修正!A57:A68,H59,修正!G57:G68)</f>
        <v>0.15</v>
      </c>
      <c r="J59" s="772"/>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38" customFormat="1" ht="15" thickBot="1">
      <c r="A60" s="639" t="s">
        <v>1900</v>
      </c>
      <c r="B60" s="218" t="e">
        <f t="shared" si="17"/>
        <v>#DIV/0!</v>
      </c>
      <c r="C60" s="171">
        <f t="shared" si="16"/>
        <v>0.15</v>
      </c>
      <c r="D60" s="943">
        <v>0.25</v>
      </c>
      <c r="E60" s="217">
        <f>'数据-汇总表'!E15</f>
        <v>0</v>
      </c>
      <c r="F60" s="637" t="e">
        <f t="shared" si="15"/>
        <v>#DIV/0!</v>
      </c>
      <c r="G60" s="1982" t="s">
        <v>1894</v>
      </c>
      <c r="H60" s="895" t="str">
        <f>项目基本情况!C37</f>
        <v>六级</v>
      </c>
      <c r="I60" s="771">
        <f>SUMIF(修正!A57:A68,H60,修正!G57:G68)</f>
        <v>0.15</v>
      </c>
      <c r="J60" s="772"/>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38" customFormat="1" ht="15" thickBot="1">
      <c r="A61" s="641" t="s">
        <v>1901</v>
      </c>
      <c r="B61" s="642" t="s">
        <v>22</v>
      </c>
      <c r="C61" s="642" t="s">
        <v>23</v>
      </c>
      <c r="D61" s="642" t="s">
        <v>392</v>
      </c>
      <c r="E61" s="642">
        <f>IF(B41="楼面地价",SUM(E51:E60),'数据-汇总表'!D3)</f>
        <v>53915.27</v>
      </c>
      <c r="F61" s="643" t="e">
        <f>IF(B41="楼面地价",SUM(F51:F60),ROUND(C43*E61/10000,0))</f>
        <v>#DIV/0!</v>
      </c>
      <c r="G61" s="937"/>
      <c r="H61" s="937"/>
      <c r="I61" s="937"/>
      <c r="J61" s="937"/>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5"/>
      <c r="B62" s="927"/>
      <c r="C62" s="929"/>
      <c r="D62" s="925"/>
      <c r="E62" s="925"/>
      <c r="F62" s="925"/>
      <c r="G62" s="925"/>
      <c r="H62" s="925"/>
      <c r="I62" s="925"/>
      <c r="J62" s="925"/>
      <c r="K62" s="886"/>
      <c r="L62" s="887"/>
      <c r="M62" s="925"/>
      <c r="N62" s="925"/>
      <c r="O62" s="925"/>
      <c r="P62" s="2716"/>
      <c r="Q62" s="2716"/>
      <c r="R62" s="2716"/>
      <c r="S62" s="2716"/>
      <c r="T62" s="2716"/>
      <c r="U62" s="2716"/>
      <c r="V62" s="2716"/>
      <c r="W62" s="2716"/>
      <c r="X62" s="2716"/>
      <c r="Y62" s="2716"/>
      <c r="Z62" s="2716"/>
      <c r="AA62" s="2716"/>
      <c r="AB62" s="2716"/>
      <c r="AC62" s="2716"/>
      <c r="AD62" s="2716"/>
      <c r="AE62" s="2716"/>
    </row>
    <row r="63" spans="1:31">
      <c r="A63" s="925"/>
      <c r="B63" s="927"/>
      <c r="C63" s="690" t="str">
        <f>YEAR(C7)&amp;"-"&amp;MONTH(C7)&amp;"-1"</f>
        <v>2024-10-1</v>
      </c>
      <c r="D63" s="690">
        <f>EDATE(C63,-3)</f>
        <v>45474</v>
      </c>
      <c r="E63" s="690">
        <f>EDATE(D63,-3)</f>
        <v>45383</v>
      </c>
      <c r="F63" s="690">
        <f t="shared" ref="F63:O63" si="18">EDATE(E63,-3)</f>
        <v>45292</v>
      </c>
      <c r="G63" s="690">
        <f t="shared" si="18"/>
        <v>45200</v>
      </c>
      <c r="H63" s="690">
        <f t="shared" si="18"/>
        <v>45108</v>
      </c>
      <c r="I63" s="690">
        <f t="shared" si="18"/>
        <v>45017</v>
      </c>
      <c r="J63" s="690">
        <f t="shared" si="18"/>
        <v>44927</v>
      </c>
      <c r="K63" s="690">
        <f t="shared" si="18"/>
        <v>44835</v>
      </c>
      <c r="L63" s="690">
        <f t="shared" si="18"/>
        <v>44743</v>
      </c>
      <c r="M63" s="690">
        <f t="shared" si="18"/>
        <v>44652</v>
      </c>
      <c r="N63" s="690">
        <f t="shared" si="18"/>
        <v>44562</v>
      </c>
      <c r="O63" s="690">
        <f t="shared" si="18"/>
        <v>44470</v>
      </c>
      <c r="P63" s="2716"/>
      <c r="Q63" s="2716"/>
      <c r="R63" s="2716"/>
      <c r="S63" s="2716"/>
      <c r="T63" s="2716"/>
      <c r="U63" s="2716"/>
      <c r="V63" s="2716"/>
      <c r="W63" s="2716"/>
      <c r="X63" s="2716"/>
      <c r="Y63" s="2716"/>
      <c r="Z63" s="2716"/>
      <c r="AA63" s="2716"/>
      <c r="AB63" s="2716"/>
      <c r="AC63" s="2716"/>
      <c r="AD63" s="2716"/>
      <c r="AE63" s="2716"/>
    </row>
    <row r="64" spans="1:31" ht="21.75" thickBot="1">
      <c r="A64" s="692" t="s">
        <v>1796</v>
      </c>
      <c r="B64" s="688"/>
      <c r="C64" s="693"/>
      <c r="D64" s="693"/>
      <c r="E64" s="693"/>
      <c r="F64" s="694"/>
      <c r="G64" s="694"/>
      <c r="H64" s="693"/>
      <c r="I64" s="693"/>
      <c r="J64" s="693"/>
      <c r="K64" s="695"/>
      <c r="L64" s="696"/>
      <c r="M64" s="693"/>
      <c r="N64" s="693"/>
      <c r="O64" s="938"/>
      <c r="P64" s="2760"/>
      <c r="Q64" s="2730"/>
      <c r="R64" s="2716"/>
      <c r="S64" s="2716"/>
      <c r="T64" s="2716"/>
      <c r="U64" s="2716"/>
      <c r="V64" s="2716"/>
      <c r="W64" s="2716"/>
      <c r="X64" s="2716"/>
      <c r="Y64" s="2716"/>
      <c r="Z64" s="2716"/>
      <c r="AA64" s="2716"/>
      <c r="AB64" s="2716"/>
      <c r="AC64" s="2716"/>
      <c r="AD64" s="2716"/>
      <c r="AE64" s="2716"/>
    </row>
    <row r="65" spans="1:31" s="455" customFormat="1" ht="15">
      <c r="A65" s="1983" t="s">
        <v>1902</v>
      </c>
      <c r="B65" s="1107"/>
      <c r="C65" s="1179" t="str">
        <f>YEAR(C63)&amp;"-"&amp;ROUNDUP(MONTH(C63)/3,0)</f>
        <v>2024-4</v>
      </c>
      <c r="D65" s="1179" t="str">
        <f t="shared" ref="D65:O65" si="19">YEAR(D63)&amp;"-"&amp;ROUNDUP(MONTH(D63)/3,0)</f>
        <v>2024-3</v>
      </c>
      <c r="E65" s="1179" t="str">
        <f t="shared" si="19"/>
        <v>2024-2</v>
      </c>
      <c r="F65" s="1179" t="str">
        <f t="shared" si="19"/>
        <v>2024-1</v>
      </c>
      <c r="G65" s="1179" t="str">
        <f t="shared" si="19"/>
        <v>2023-4</v>
      </c>
      <c r="H65" s="1179" t="str">
        <f t="shared" si="19"/>
        <v>2023-3</v>
      </c>
      <c r="I65" s="1179" t="str">
        <f t="shared" si="19"/>
        <v>2023-2</v>
      </c>
      <c r="J65" s="1179" t="str">
        <f t="shared" si="19"/>
        <v>2023-1</v>
      </c>
      <c r="K65" s="1179" t="str">
        <f t="shared" si="19"/>
        <v>2022-4</v>
      </c>
      <c r="L65" s="1179" t="str">
        <f t="shared" si="19"/>
        <v>2022-3</v>
      </c>
      <c r="M65" s="1179" t="str">
        <f t="shared" si="19"/>
        <v>2022-2</v>
      </c>
      <c r="N65" s="1179" t="str">
        <f t="shared" si="19"/>
        <v>2022-1</v>
      </c>
      <c r="O65" s="1179" t="str">
        <f t="shared" si="19"/>
        <v>2021-4</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88" t="s">
        <v>1922</v>
      </c>
      <c r="B66" s="288" t="str">
        <f>"北京市平均增长率"&amp;TEXT(基准地价修正!P28,"0.00%")</f>
        <v>北京市平均增长率0.00%</v>
      </c>
      <c r="C66" s="550">
        <v>100</v>
      </c>
      <c r="D66" s="542"/>
      <c r="E66" s="542"/>
      <c r="F66" s="542"/>
      <c r="G66" s="542"/>
      <c r="H66" s="542"/>
      <c r="I66" s="542"/>
      <c r="J66" s="542"/>
      <c r="K66" s="542"/>
      <c r="L66" s="542"/>
      <c r="M66" s="1176"/>
      <c r="N66" s="1176"/>
      <c r="O66" s="1177"/>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2" t="s">
        <v>1714</v>
      </c>
      <c r="B67" s="463"/>
      <c r="C67" s="464"/>
      <c r="D67" s="465"/>
      <c r="E67" s="465"/>
      <c r="F67" s="465"/>
      <c r="G67" s="465"/>
      <c r="H67" s="465"/>
      <c r="I67" s="465"/>
      <c r="J67" s="465"/>
      <c r="K67" s="465"/>
      <c r="L67" s="465"/>
      <c r="M67" s="466"/>
      <c r="N67" s="466"/>
      <c r="O67" s="467"/>
      <c r="P67" s="2730"/>
      <c r="Q67" s="2730"/>
      <c r="R67" s="2652"/>
      <c r="S67" s="2652"/>
      <c r="T67" s="2652"/>
      <c r="U67" s="2652"/>
      <c r="V67" s="2652"/>
      <c r="W67" s="2652"/>
      <c r="X67" s="2652"/>
      <c r="Y67" s="2652"/>
      <c r="Z67" s="2652"/>
      <c r="AA67" s="2652"/>
      <c r="AB67" s="2652"/>
      <c r="AC67" s="2652"/>
      <c r="AD67" s="2652"/>
      <c r="AE67" s="2652"/>
    </row>
    <row r="68" spans="1:31" s="108" customFormat="1" ht="15">
      <c r="A68" s="468" t="s">
        <v>1679</v>
      </c>
      <c r="B68" s="457"/>
      <c r="C68" s="469" t="s">
        <v>1774</v>
      </c>
      <c r="D68" s="470"/>
      <c r="E68" s="470"/>
      <c r="F68" s="470"/>
      <c r="G68" s="470"/>
      <c r="H68" s="470"/>
      <c r="I68" s="470"/>
      <c r="J68" s="470"/>
      <c r="K68" s="470"/>
      <c r="L68" s="471"/>
      <c r="M68" s="472"/>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68"/>
      <c r="B69" s="457"/>
      <c r="C69" s="585">
        <v>100</v>
      </c>
      <c r="D69" s="459"/>
      <c r="E69" s="459"/>
      <c r="F69" s="459"/>
      <c r="G69" s="459"/>
      <c r="H69" s="459"/>
      <c r="I69" s="459"/>
      <c r="J69" s="459"/>
      <c r="K69" s="459"/>
      <c r="L69" s="459"/>
      <c r="M69" s="461"/>
      <c r="N69" s="2743"/>
      <c r="O69" s="2743"/>
      <c r="P69" s="2730"/>
      <c r="Q69" s="2730"/>
      <c r="R69" s="2652"/>
      <c r="S69" s="2652"/>
      <c r="T69" s="2652"/>
      <c r="U69" s="2652"/>
      <c r="V69" s="2652"/>
      <c r="W69" s="2652"/>
      <c r="X69" s="2652"/>
      <c r="Y69" s="2652"/>
      <c r="Z69" s="2652"/>
      <c r="AA69" s="2652"/>
      <c r="AB69" s="2652"/>
      <c r="AC69" s="2652"/>
      <c r="AD69" s="2652"/>
      <c r="AE69" s="2652"/>
    </row>
    <row r="70" spans="1:31">
      <c r="A70" s="474" t="s">
        <v>1717</v>
      </c>
      <c r="B70" s="475" t="s">
        <v>1683</v>
      </c>
      <c r="C70" s="477"/>
      <c r="D70" s="477"/>
      <c r="E70" s="477"/>
      <c r="F70" s="477"/>
      <c r="G70" s="477"/>
      <c r="H70" s="477"/>
      <c r="I70" s="477"/>
      <c r="J70" s="477"/>
      <c r="K70" s="478"/>
      <c r="L70" s="479"/>
      <c r="M70" s="480"/>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1"/>
      <c r="B71" s="482"/>
      <c r="C71" s="483"/>
      <c r="D71" s="483"/>
      <c r="E71" s="483"/>
      <c r="F71" s="483"/>
      <c r="G71" s="483"/>
      <c r="H71" s="483"/>
      <c r="I71" s="483"/>
      <c r="J71" s="483"/>
      <c r="K71" s="483"/>
      <c r="L71" s="483"/>
      <c r="M71" s="484"/>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1"/>
      <c r="B72" s="485" t="s">
        <v>1686</v>
      </c>
      <c r="C72" s="486"/>
      <c r="D72" s="486"/>
      <c r="E72" s="486"/>
      <c r="F72" s="486"/>
      <c r="G72" s="486"/>
      <c r="H72" s="486"/>
      <c r="I72" s="486"/>
      <c r="J72" s="486"/>
      <c r="K72" s="487"/>
      <c r="L72" s="488"/>
      <c r="M72" s="489"/>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1"/>
      <c r="B73" s="490"/>
      <c r="C73" s="491"/>
      <c r="D73" s="491"/>
      <c r="E73" s="491"/>
      <c r="F73" s="491"/>
      <c r="G73" s="491"/>
      <c r="H73" s="491"/>
      <c r="I73" s="491"/>
      <c r="J73" s="491"/>
      <c r="K73" s="491"/>
      <c r="L73" s="491"/>
      <c r="M73" s="492"/>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1"/>
      <c r="B74" s="493" t="s">
        <v>1687</v>
      </c>
      <c r="C74" s="494" t="str">
        <f>C75&amp;"（含）"&amp;"-"&amp;D75</f>
        <v>（含）-</v>
      </c>
      <c r="D74" s="494" t="str">
        <f t="shared" ref="D74:L74" si="20">D75&amp;"（含）"&amp;"-"&amp;E75</f>
        <v>（含）-</v>
      </c>
      <c r="E74" s="494" t="str">
        <f t="shared" si="20"/>
        <v>（含）-</v>
      </c>
      <c r="F74" s="494" t="str">
        <f t="shared" si="20"/>
        <v>（含）-</v>
      </c>
      <c r="G74" s="494" t="str">
        <f t="shared" si="20"/>
        <v>（含）-</v>
      </c>
      <c r="H74" s="494" t="str">
        <f t="shared" si="20"/>
        <v>（含）-</v>
      </c>
      <c r="I74" s="494" t="str">
        <f t="shared" si="20"/>
        <v>（含）-</v>
      </c>
      <c r="J74" s="494" t="str">
        <f t="shared" si="20"/>
        <v>（含）-</v>
      </c>
      <c r="K74" s="494" t="str">
        <f t="shared" si="20"/>
        <v>（含）-</v>
      </c>
      <c r="L74" s="494" t="str">
        <f t="shared" si="20"/>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1"/>
      <c r="B75" s="495"/>
      <c r="C75" s="496"/>
      <c r="D75" s="496"/>
      <c r="E75" s="496"/>
      <c r="F75" s="496"/>
      <c r="G75" s="496"/>
      <c r="H75" s="496"/>
      <c r="I75" s="496"/>
      <c r="J75" s="496"/>
      <c r="K75" s="497"/>
      <c r="L75" s="498"/>
      <c r="M75" s="499"/>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1"/>
      <c r="B76" s="482"/>
      <c r="C76" s="491">
        <v>100</v>
      </c>
      <c r="D76" s="491">
        <f>IF($B$41="单位面积地价",C76+$K11,C76-$K11)</f>
        <v>100</v>
      </c>
      <c r="E76" s="491">
        <f t="shared" ref="E76:M76" si="21">IF($B$41="单位面积地价",D76+$K11,D76-$K11)</f>
        <v>100</v>
      </c>
      <c r="F76" s="491">
        <f t="shared" si="21"/>
        <v>100</v>
      </c>
      <c r="G76" s="491">
        <f t="shared" si="21"/>
        <v>100</v>
      </c>
      <c r="H76" s="491">
        <f t="shared" si="21"/>
        <v>100</v>
      </c>
      <c r="I76" s="491">
        <f t="shared" si="21"/>
        <v>100</v>
      </c>
      <c r="J76" s="491">
        <f t="shared" si="21"/>
        <v>100</v>
      </c>
      <c r="K76" s="491">
        <f t="shared" si="21"/>
        <v>100</v>
      </c>
      <c r="L76" s="491">
        <f t="shared" si="21"/>
        <v>100</v>
      </c>
      <c r="M76" s="491">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0"/>
      <c r="B77" s="485">
        <f>B12</f>
        <v>111</v>
      </c>
      <c r="C77" s="501"/>
      <c r="D77" s="501"/>
      <c r="E77" s="501"/>
      <c r="F77" s="501"/>
      <c r="G77" s="501"/>
      <c r="H77" s="502"/>
      <c r="I77" s="502"/>
      <c r="J77" s="502"/>
      <c r="K77" s="502"/>
      <c r="L77" s="503"/>
      <c r="M77" s="504"/>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0"/>
      <c r="B78" s="490"/>
      <c r="C78" s="507"/>
      <c r="D78" s="483"/>
      <c r="E78" s="483"/>
      <c r="F78" s="483"/>
      <c r="G78" s="483"/>
      <c r="H78" s="483"/>
      <c r="I78" s="483"/>
      <c r="J78" s="483"/>
      <c r="K78" s="483"/>
      <c r="L78" s="483"/>
      <c r="M78" s="484"/>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0"/>
      <c r="B79" s="485">
        <f>B13</f>
        <v>111</v>
      </c>
      <c r="C79" s="501"/>
      <c r="D79" s="501"/>
      <c r="E79" s="501"/>
      <c r="F79" s="501"/>
      <c r="G79" s="501"/>
      <c r="H79" s="502"/>
      <c r="I79" s="502"/>
      <c r="J79" s="502"/>
      <c r="K79" s="502"/>
      <c r="L79" s="503"/>
      <c r="M79" s="504"/>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0"/>
      <c r="B80" s="490"/>
      <c r="C80" s="507"/>
      <c r="D80" s="507"/>
      <c r="E80" s="507"/>
      <c r="F80" s="507"/>
      <c r="G80" s="507"/>
      <c r="H80" s="509"/>
      <c r="I80" s="509"/>
      <c r="J80" s="509"/>
      <c r="K80" s="509"/>
      <c r="L80" s="509"/>
      <c r="M80" s="510"/>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0"/>
      <c r="B81" s="493">
        <f>B14</f>
        <v>111</v>
      </c>
      <c r="C81" s="470"/>
      <c r="D81" s="470"/>
      <c r="E81" s="470"/>
      <c r="F81" s="470"/>
      <c r="G81" s="470"/>
      <c r="H81" s="511"/>
      <c r="I81" s="511"/>
      <c r="J81" s="511"/>
      <c r="K81" s="511"/>
      <c r="L81" s="512"/>
      <c r="M81" s="513"/>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5"/>
      <c r="B82" s="516"/>
      <c r="C82" s="517"/>
      <c r="D82" s="517"/>
      <c r="E82" s="517"/>
      <c r="F82" s="517"/>
      <c r="G82" s="517"/>
      <c r="H82" s="518"/>
      <c r="I82" s="518"/>
      <c r="J82" s="518"/>
      <c r="K82" s="518"/>
      <c r="L82" s="518"/>
      <c r="M82" s="519"/>
      <c r="N82" s="2746"/>
      <c r="O82" s="2746"/>
      <c r="P82" s="2770"/>
      <c r="Q82" s="2737"/>
      <c r="R82" s="2738"/>
      <c r="S82" s="2738"/>
      <c r="T82" s="2738"/>
      <c r="U82" s="2738"/>
      <c r="V82" s="2738"/>
      <c r="W82" s="2738"/>
      <c r="X82" s="2738"/>
      <c r="Y82" s="2738"/>
      <c r="Z82" s="2738"/>
      <c r="AA82" s="2738"/>
      <c r="AB82" s="2738"/>
      <c r="AC82" s="2738"/>
      <c r="AD82" s="2738"/>
      <c r="AE82" s="2738"/>
    </row>
    <row r="83" spans="1:31">
      <c r="A83" s="474" t="s">
        <v>1688</v>
      </c>
      <c r="B83" s="475" t="s">
        <v>1827</v>
      </c>
      <c r="C83" s="520" t="s">
        <v>1719</v>
      </c>
      <c r="D83" s="520" t="s">
        <v>1720</v>
      </c>
      <c r="E83" s="520" t="s">
        <v>1721</v>
      </c>
      <c r="F83" s="520" t="s">
        <v>1722</v>
      </c>
      <c r="G83" s="520" t="s">
        <v>1723</v>
      </c>
      <c r="H83" s="476"/>
      <c r="I83" s="476"/>
      <c r="J83" s="476"/>
      <c r="K83" s="521"/>
      <c r="L83" s="522"/>
      <c r="M83" s="523"/>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1"/>
      <c r="B84" s="490"/>
      <c r="C84" s="491">
        <v>100</v>
      </c>
      <c r="D84" s="491">
        <f>C84-$K15</f>
        <v>100</v>
      </c>
      <c r="E84" s="491">
        <f>D84-$K15</f>
        <v>100</v>
      </c>
      <c r="F84" s="491">
        <f>E84-$K15</f>
        <v>100</v>
      </c>
      <c r="G84" s="491">
        <f>F84-$K15</f>
        <v>100</v>
      </c>
      <c r="H84" s="491"/>
      <c r="I84" s="491"/>
      <c r="J84" s="491"/>
      <c r="K84" s="491"/>
      <c r="L84" s="491"/>
      <c r="M84" s="492"/>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1"/>
      <c r="B85" s="485" t="s">
        <v>1724</v>
      </c>
      <c r="C85" s="525" t="s">
        <v>1719</v>
      </c>
      <c r="D85" s="525" t="s">
        <v>1720</v>
      </c>
      <c r="E85" s="525" t="s">
        <v>1721</v>
      </c>
      <c r="F85" s="525" t="s">
        <v>1722</v>
      </c>
      <c r="G85" s="525" t="s">
        <v>1723</v>
      </c>
      <c r="H85" s="486"/>
      <c r="I85" s="486"/>
      <c r="J85" s="486"/>
      <c r="K85" s="487"/>
      <c r="L85" s="488"/>
      <c r="M85" s="489"/>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1"/>
      <c r="B86" s="490"/>
      <c r="C86" s="491">
        <v>100</v>
      </c>
      <c r="D86" s="491">
        <f>C86-$K17</f>
        <v>100</v>
      </c>
      <c r="E86" s="491">
        <f>D86-$K17</f>
        <v>100</v>
      </c>
      <c r="F86" s="491">
        <f>E86-$K17</f>
        <v>100</v>
      </c>
      <c r="G86" s="491">
        <f>F86-$K17</f>
        <v>100</v>
      </c>
      <c r="H86" s="491"/>
      <c r="I86" s="491"/>
      <c r="J86" s="491"/>
      <c r="K86" s="491"/>
      <c r="L86" s="491"/>
      <c r="M86" s="492"/>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6"/>
      <c r="B87" s="485" t="s">
        <v>1905</v>
      </c>
      <c r="C87" s="520" t="s">
        <v>1719</v>
      </c>
      <c r="D87" s="520" t="s">
        <v>1720</v>
      </c>
      <c r="E87" s="520" t="s">
        <v>1721</v>
      </c>
      <c r="F87" s="520" t="s">
        <v>1722</v>
      </c>
      <c r="G87" s="520" t="s">
        <v>1723</v>
      </c>
      <c r="H87" s="525"/>
      <c r="I87" s="525"/>
      <c r="J87" s="525"/>
      <c r="K87" s="525"/>
      <c r="L87" s="644"/>
      <c r="M87" s="568"/>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6"/>
      <c r="B88" s="490"/>
      <c r="C88" s="529">
        <v>100</v>
      </c>
      <c r="D88" s="491">
        <f>C88-$K19</f>
        <v>100</v>
      </c>
      <c r="E88" s="491">
        <f>D88-$K19</f>
        <v>100</v>
      </c>
      <c r="F88" s="491">
        <f>E88-$K19</f>
        <v>100</v>
      </c>
      <c r="G88" s="491">
        <f>F88-$K19</f>
        <v>100</v>
      </c>
      <c r="H88" s="491"/>
      <c r="I88" s="491"/>
      <c r="J88" s="491"/>
      <c r="K88" s="491"/>
      <c r="L88" s="491"/>
      <c r="M88" s="492"/>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6"/>
      <c r="B89" s="485" t="s">
        <v>1906</v>
      </c>
      <c r="C89" s="520" t="s">
        <v>1719</v>
      </c>
      <c r="D89" s="520" t="s">
        <v>1720</v>
      </c>
      <c r="E89" s="520" t="s">
        <v>1721</v>
      </c>
      <c r="F89" s="520" t="s">
        <v>1722</v>
      </c>
      <c r="G89" s="520" t="s">
        <v>1723</v>
      </c>
      <c r="H89" s="525"/>
      <c r="I89" s="525"/>
      <c r="J89" s="525"/>
      <c r="K89" s="525"/>
      <c r="L89" s="525"/>
      <c r="M89" s="568"/>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6"/>
      <c r="B90" s="490"/>
      <c r="C90" s="491">
        <v>100</v>
      </c>
      <c r="D90" s="491">
        <f>C90-$K21</f>
        <v>100</v>
      </c>
      <c r="E90" s="491">
        <f>D90-$K21</f>
        <v>100</v>
      </c>
      <c r="F90" s="491">
        <f>E90-$K21</f>
        <v>100</v>
      </c>
      <c r="G90" s="491">
        <f>F90-$K21</f>
        <v>100</v>
      </c>
      <c r="H90" s="491"/>
      <c r="I90" s="491"/>
      <c r="J90" s="491"/>
      <c r="K90" s="491"/>
      <c r="L90" s="491"/>
      <c r="M90" s="492"/>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0"/>
      <c r="B91" s="485" t="s">
        <v>1776</v>
      </c>
      <c r="C91" s="520" t="s">
        <v>1719</v>
      </c>
      <c r="D91" s="520" t="s">
        <v>1720</v>
      </c>
      <c r="E91" s="520" t="s">
        <v>1721</v>
      </c>
      <c r="F91" s="520" t="s">
        <v>1722</v>
      </c>
      <c r="G91" s="520" t="s">
        <v>1723</v>
      </c>
      <c r="H91" s="547"/>
      <c r="I91" s="547"/>
      <c r="J91" s="547"/>
      <c r="K91" s="547"/>
      <c r="L91" s="548"/>
      <c r="M91" s="549"/>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0"/>
      <c r="B92" s="490"/>
      <c r="C92" s="491">
        <v>100</v>
      </c>
      <c r="D92" s="491">
        <f>C92-$K23</f>
        <v>100</v>
      </c>
      <c r="E92" s="491">
        <f>D92-$K23</f>
        <v>100</v>
      </c>
      <c r="F92" s="491">
        <f>E92-$K23</f>
        <v>100</v>
      </c>
      <c r="G92" s="491">
        <f>F92-$K23</f>
        <v>100</v>
      </c>
      <c r="H92" s="554"/>
      <c r="I92" s="554"/>
      <c r="J92" s="554"/>
      <c r="K92" s="554"/>
      <c r="L92" s="554"/>
      <c r="M92" s="555"/>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0"/>
      <c r="B93" s="493" t="s">
        <v>1923</v>
      </c>
      <c r="C93" s="606" t="s">
        <v>1797</v>
      </c>
      <c r="D93" s="606" t="s">
        <v>1798</v>
      </c>
      <c r="E93" s="606" t="s">
        <v>1799</v>
      </c>
      <c r="F93" s="606" t="s">
        <v>1800</v>
      </c>
      <c r="G93" s="606" t="s">
        <v>1801</v>
      </c>
      <c r="H93" s="547"/>
      <c r="I93" s="547"/>
      <c r="J93" s="547"/>
      <c r="K93" s="547"/>
      <c r="L93" s="547"/>
      <c r="M93" s="549"/>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0"/>
      <c r="B94" s="493"/>
      <c r="C94" s="491">
        <v>100</v>
      </c>
      <c r="D94" s="491">
        <f>C94-$K25</f>
        <v>100</v>
      </c>
      <c r="E94" s="491">
        <f>D94-$K25</f>
        <v>100</v>
      </c>
      <c r="F94" s="491">
        <f>E94-$K25</f>
        <v>100</v>
      </c>
      <c r="G94" s="491">
        <f>F94-$K25</f>
        <v>100</v>
      </c>
      <c r="H94" s="495"/>
      <c r="I94" s="495"/>
      <c r="J94" s="495"/>
      <c r="K94" s="495"/>
      <c r="L94" s="495"/>
      <c r="M94" s="1130"/>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1"/>
      <c r="B95" s="485" t="str">
        <f>B27</f>
        <v>临街状况</v>
      </c>
      <c r="C95" s="486" t="s">
        <v>1907</v>
      </c>
      <c r="D95" s="486" t="s">
        <v>1908</v>
      </c>
      <c r="E95" s="486" t="s">
        <v>1909</v>
      </c>
      <c r="F95" s="486" t="s">
        <v>1910</v>
      </c>
      <c r="G95" s="486"/>
      <c r="H95" s="486"/>
      <c r="I95" s="486"/>
      <c r="J95" s="486"/>
      <c r="K95" s="487"/>
      <c r="L95" s="488"/>
      <c r="M95" s="489"/>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1"/>
      <c r="B96" s="490"/>
      <c r="C96" s="491">
        <v>100</v>
      </c>
      <c r="D96" s="491">
        <f t="shared" ref="D96:M96" si="22">C96-$K27</f>
        <v>100</v>
      </c>
      <c r="E96" s="491">
        <f t="shared" si="22"/>
        <v>100</v>
      </c>
      <c r="F96" s="491">
        <f t="shared" si="22"/>
        <v>100</v>
      </c>
      <c r="G96" s="491">
        <f t="shared" si="22"/>
        <v>100</v>
      </c>
      <c r="H96" s="491">
        <f t="shared" si="22"/>
        <v>100</v>
      </c>
      <c r="I96" s="491">
        <f t="shared" si="22"/>
        <v>100</v>
      </c>
      <c r="J96" s="491">
        <f t="shared" si="22"/>
        <v>100</v>
      </c>
      <c r="K96" s="491">
        <f t="shared" si="22"/>
        <v>100</v>
      </c>
      <c r="L96" s="491">
        <f t="shared" si="22"/>
        <v>100</v>
      </c>
      <c r="M96" s="491">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1"/>
      <c r="B97" s="485" t="s">
        <v>1813</v>
      </c>
      <c r="C97" s="501"/>
      <c r="D97" s="501"/>
      <c r="E97" s="501"/>
      <c r="F97" s="501"/>
      <c r="G97" s="501"/>
      <c r="H97" s="530"/>
      <c r="I97" s="530"/>
      <c r="J97" s="530"/>
      <c r="K97" s="531"/>
      <c r="L97" s="532"/>
      <c r="M97" s="533"/>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1"/>
      <c r="B98" s="490"/>
      <c r="C98" s="491">
        <v>100</v>
      </c>
      <c r="D98" s="491">
        <f t="shared" ref="D98:M98" si="23">C98-$K28</f>
        <v>100</v>
      </c>
      <c r="E98" s="491">
        <f t="shared" si="23"/>
        <v>100</v>
      </c>
      <c r="F98" s="491">
        <f t="shared" si="23"/>
        <v>100</v>
      </c>
      <c r="G98" s="491">
        <f t="shared" si="23"/>
        <v>100</v>
      </c>
      <c r="H98" s="491">
        <f t="shared" si="23"/>
        <v>100</v>
      </c>
      <c r="I98" s="491">
        <f t="shared" si="23"/>
        <v>100</v>
      </c>
      <c r="J98" s="491">
        <f t="shared" si="23"/>
        <v>100</v>
      </c>
      <c r="K98" s="491">
        <f t="shared" si="23"/>
        <v>100</v>
      </c>
      <c r="L98" s="491">
        <f t="shared" si="23"/>
        <v>100</v>
      </c>
      <c r="M98" s="491">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1"/>
      <c r="B99" s="485" t="s">
        <v>1871</v>
      </c>
      <c r="C99" s="530"/>
      <c r="D99" s="530"/>
      <c r="E99" s="530"/>
      <c r="F99" s="530"/>
      <c r="G99" s="530"/>
      <c r="H99" s="530"/>
      <c r="I99" s="530"/>
      <c r="J99" s="530"/>
      <c r="K99" s="531"/>
      <c r="L99" s="532"/>
      <c r="M99" s="533"/>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1"/>
      <c r="B100" s="490"/>
      <c r="C100" s="491">
        <v>100</v>
      </c>
      <c r="D100" s="491">
        <f t="shared" ref="D100:M100" si="24">C100-$K30</f>
        <v>100</v>
      </c>
      <c r="E100" s="491">
        <f t="shared" si="24"/>
        <v>100</v>
      </c>
      <c r="F100" s="491">
        <f t="shared" si="24"/>
        <v>100</v>
      </c>
      <c r="G100" s="491">
        <f t="shared" si="24"/>
        <v>100</v>
      </c>
      <c r="H100" s="491">
        <f t="shared" si="24"/>
        <v>100</v>
      </c>
      <c r="I100" s="491">
        <f t="shared" si="24"/>
        <v>100</v>
      </c>
      <c r="J100" s="491">
        <f t="shared" si="24"/>
        <v>100</v>
      </c>
      <c r="K100" s="491">
        <f t="shared" si="24"/>
        <v>100</v>
      </c>
      <c r="L100" s="491">
        <f t="shared" si="24"/>
        <v>100</v>
      </c>
      <c r="M100" s="491">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1"/>
      <c r="B101" s="493">
        <f>B31</f>
        <v>111</v>
      </c>
      <c r="C101" s="501"/>
      <c r="D101" s="501"/>
      <c r="E101" s="501"/>
      <c r="F101" s="501"/>
      <c r="G101" s="534"/>
      <c r="H101" s="534"/>
      <c r="I101" s="534"/>
      <c r="J101" s="534"/>
      <c r="K101" s="535"/>
      <c r="L101" s="536"/>
      <c r="M101" s="537"/>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1"/>
      <c r="B102" s="516"/>
      <c r="C102" s="507"/>
      <c r="D102" s="483"/>
      <c r="E102" s="483"/>
      <c r="F102" s="483"/>
      <c r="G102" s="538"/>
      <c r="H102" s="538"/>
      <c r="I102" s="538"/>
      <c r="J102" s="538"/>
      <c r="K102" s="538"/>
      <c r="L102" s="538"/>
      <c r="M102" s="539"/>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1"/>
      <c r="B103" s="485">
        <f>B32</f>
        <v>111</v>
      </c>
      <c r="C103" s="501"/>
      <c r="D103" s="501"/>
      <c r="E103" s="501"/>
      <c r="F103" s="501"/>
      <c r="G103" s="530"/>
      <c r="H103" s="530"/>
      <c r="I103" s="530"/>
      <c r="J103" s="530"/>
      <c r="K103" s="531"/>
      <c r="L103" s="532"/>
      <c r="M103" s="533"/>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1"/>
      <c r="B104" s="490"/>
      <c r="C104" s="507"/>
      <c r="D104" s="507"/>
      <c r="E104" s="507"/>
      <c r="F104" s="507"/>
      <c r="G104" s="483"/>
      <c r="H104" s="483"/>
      <c r="I104" s="483"/>
      <c r="J104" s="483"/>
      <c r="K104" s="483"/>
      <c r="L104" s="483"/>
      <c r="M104" s="484"/>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0"/>
      <c r="B105" s="541">
        <f>B33</f>
        <v>111</v>
      </c>
      <c r="C105" s="470"/>
      <c r="D105" s="470"/>
      <c r="E105" s="470"/>
      <c r="F105" s="470"/>
      <c r="G105" s="542"/>
      <c r="H105" s="542"/>
      <c r="I105" s="542"/>
      <c r="J105" s="543"/>
      <c r="K105" s="543"/>
      <c r="L105" s="544"/>
      <c r="M105" s="545"/>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0"/>
      <c r="B106" s="493"/>
      <c r="C106" s="517"/>
      <c r="D106" s="517"/>
      <c r="E106" s="517"/>
      <c r="F106" s="517"/>
      <c r="G106" s="623"/>
      <c r="H106" s="623"/>
      <c r="I106" s="623"/>
      <c r="J106" s="623"/>
      <c r="K106" s="623"/>
      <c r="L106" s="623"/>
      <c r="M106" s="645"/>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4" t="s">
        <v>1692</v>
      </c>
      <c r="B107" s="475" t="s">
        <v>1911</v>
      </c>
      <c r="C107" s="476" t="str">
        <f t="shared" ref="C107:L107" si="25">C108&amp;"(含)"&amp;"-"&amp;D108</f>
        <v>(含)-</v>
      </c>
      <c r="D107" s="476" t="str">
        <f t="shared" si="25"/>
        <v>(含)-</v>
      </c>
      <c r="E107" s="476" t="str">
        <f t="shared" si="25"/>
        <v>(含)-</v>
      </c>
      <c r="F107" s="476" t="str">
        <f t="shared" si="25"/>
        <v>(含)-</v>
      </c>
      <c r="G107" s="476" t="str">
        <f t="shared" si="25"/>
        <v>(含)-</v>
      </c>
      <c r="H107" s="476" t="str">
        <f t="shared" si="25"/>
        <v>(含)-</v>
      </c>
      <c r="I107" s="476" t="str">
        <f t="shared" si="25"/>
        <v>(含)-</v>
      </c>
      <c r="J107" s="476" t="str">
        <f t="shared" si="25"/>
        <v>(含)-</v>
      </c>
      <c r="K107" s="1330" t="str">
        <f t="shared" si="25"/>
        <v>(含)-</v>
      </c>
      <c r="L107" s="1330" t="str">
        <f t="shared" si="25"/>
        <v>(含)-</v>
      </c>
      <c r="M107" s="1331"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1"/>
      <c r="B108" s="493"/>
      <c r="C108" s="542"/>
      <c r="D108" s="542"/>
      <c r="E108" s="542"/>
      <c r="F108" s="542"/>
      <c r="G108" s="542"/>
      <c r="H108" s="542"/>
      <c r="I108" s="542"/>
      <c r="J108" s="543"/>
      <c r="K108" s="543"/>
      <c r="L108" s="544"/>
      <c r="M108" s="545"/>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1"/>
      <c r="B109" s="490"/>
      <c r="C109" s="517"/>
      <c r="D109" s="538"/>
      <c r="E109" s="538"/>
      <c r="F109" s="538"/>
      <c r="G109" s="538"/>
      <c r="H109" s="538"/>
      <c r="I109" s="538"/>
      <c r="J109" s="538"/>
      <c r="K109" s="538"/>
      <c r="L109" s="538"/>
      <c r="M109" s="539"/>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6"/>
      <c r="B110" s="485" t="s">
        <v>1912</v>
      </c>
      <c r="C110" s="530"/>
      <c r="D110" s="530"/>
      <c r="E110" s="530"/>
      <c r="F110" s="530"/>
      <c r="G110" s="530"/>
      <c r="H110" s="530"/>
      <c r="I110" s="530"/>
      <c r="J110" s="530"/>
      <c r="K110" s="531"/>
      <c r="L110" s="532"/>
      <c r="M110" s="533"/>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1"/>
      <c r="B111" s="490"/>
      <c r="C111" s="491">
        <v>100</v>
      </c>
      <c r="D111" s="491">
        <f t="shared" ref="D111:M111" si="26">C111-$K35</f>
        <v>100</v>
      </c>
      <c r="E111" s="491">
        <f t="shared" si="26"/>
        <v>100</v>
      </c>
      <c r="F111" s="491">
        <f t="shared" si="26"/>
        <v>100</v>
      </c>
      <c r="G111" s="491">
        <f t="shared" si="26"/>
        <v>100</v>
      </c>
      <c r="H111" s="491">
        <f t="shared" si="26"/>
        <v>100</v>
      </c>
      <c r="I111" s="491">
        <f t="shared" si="26"/>
        <v>100</v>
      </c>
      <c r="J111" s="491">
        <f t="shared" si="26"/>
        <v>100</v>
      </c>
      <c r="K111" s="491">
        <f t="shared" si="26"/>
        <v>100</v>
      </c>
      <c r="L111" s="491">
        <f t="shared" si="26"/>
        <v>100</v>
      </c>
      <c r="M111" s="492">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0"/>
      <c r="B112" s="485" t="s">
        <v>1914</v>
      </c>
      <c r="C112" s="501"/>
      <c r="D112" s="501"/>
      <c r="E112" s="501"/>
      <c r="F112" s="501"/>
      <c r="G112" s="501"/>
      <c r="H112" s="530"/>
      <c r="I112" s="530"/>
      <c r="J112" s="530"/>
      <c r="K112" s="531"/>
      <c r="L112" s="532"/>
      <c r="M112" s="533"/>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0"/>
      <c r="B113" s="490"/>
      <c r="C113" s="491">
        <v>100</v>
      </c>
      <c r="D113" s="491">
        <f t="shared" ref="D113:M113" si="27">C113-$K36</f>
        <v>100</v>
      </c>
      <c r="E113" s="491">
        <f t="shared" si="27"/>
        <v>100</v>
      </c>
      <c r="F113" s="491">
        <f t="shared" si="27"/>
        <v>100</v>
      </c>
      <c r="G113" s="491">
        <f t="shared" si="27"/>
        <v>100</v>
      </c>
      <c r="H113" s="491">
        <f t="shared" si="27"/>
        <v>100</v>
      </c>
      <c r="I113" s="491">
        <f t="shared" si="27"/>
        <v>100</v>
      </c>
      <c r="J113" s="491">
        <f t="shared" si="27"/>
        <v>100</v>
      </c>
      <c r="K113" s="491">
        <f t="shared" si="27"/>
        <v>100</v>
      </c>
      <c r="L113" s="491">
        <f t="shared" si="27"/>
        <v>100</v>
      </c>
      <c r="M113" s="492">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6"/>
      <c r="B114" s="485" t="s">
        <v>1915</v>
      </c>
      <c r="C114" s="501"/>
      <c r="D114" s="501"/>
      <c r="E114" s="530"/>
      <c r="F114" s="530"/>
      <c r="G114" s="530"/>
      <c r="H114" s="530"/>
      <c r="I114" s="530"/>
      <c r="J114" s="530"/>
      <c r="K114" s="531"/>
      <c r="L114" s="532"/>
      <c r="M114" s="533"/>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1"/>
      <c r="B115" s="490"/>
      <c r="C115" s="491">
        <v>100</v>
      </c>
      <c r="D115" s="491">
        <f t="shared" ref="D115:M115" si="28">C115-$K37</f>
        <v>100</v>
      </c>
      <c r="E115" s="491">
        <f t="shared" si="28"/>
        <v>100</v>
      </c>
      <c r="F115" s="491">
        <f t="shared" si="28"/>
        <v>100</v>
      </c>
      <c r="G115" s="491">
        <f t="shared" si="28"/>
        <v>100</v>
      </c>
      <c r="H115" s="491">
        <f t="shared" si="28"/>
        <v>100</v>
      </c>
      <c r="I115" s="491">
        <f t="shared" si="28"/>
        <v>100</v>
      </c>
      <c r="J115" s="491">
        <f t="shared" si="28"/>
        <v>100</v>
      </c>
      <c r="K115" s="491">
        <f t="shared" si="28"/>
        <v>100</v>
      </c>
      <c r="L115" s="491">
        <f t="shared" si="28"/>
        <v>100</v>
      </c>
      <c r="M115" s="492">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6"/>
      <c r="B116" s="485">
        <f>B38</f>
        <v>111</v>
      </c>
      <c r="C116" s="501"/>
      <c r="D116" s="501"/>
      <c r="E116" s="501"/>
      <c r="F116" s="501"/>
      <c r="G116" s="501"/>
      <c r="H116" s="530"/>
      <c r="I116" s="530"/>
      <c r="J116" s="530"/>
      <c r="K116" s="531"/>
      <c r="L116" s="532"/>
      <c r="M116" s="533"/>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1"/>
      <c r="B117" s="490"/>
      <c r="C117" s="507"/>
      <c r="D117" s="483"/>
      <c r="E117" s="483"/>
      <c r="F117" s="483"/>
      <c r="G117" s="483"/>
      <c r="H117" s="483"/>
      <c r="I117" s="483"/>
      <c r="J117" s="483"/>
      <c r="K117" s="483"/>
      <c r="L117" s="483"/>
      <c r="M117" s="484"/>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6"/>
      <c r="B118" s="485">
        <f>B39</f>
        <v>111</v>
      </c>
      <c r="C118" s="501"/>
      <c r="D118" s="501"/>
      <c r="E118" s="501"/>
      <c r="F118" s="501"/>
      <c r="G118" s="530"/>
      <c r="H118" s="530"/>
      <c r="I118" s="530"/>
      <c r="J118" s="530"/>
      <c r="K118" s="531"/>
      <c r="L118" s="532"/>
      <c r="M118" s="533"/>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1"/>
      <c r="B119" s="490"/>
      <c r="C119" s="507"/>
      <c r="D119" s="507"/>
      <c r="E119" s="507"/>
      <c r="F119" s="507"/>
      <c r="G119" s="483"/>
      <c r="H119" s="483"/>
      <c r="I119" s="483"/>
      <c r="J119" s="483"/>
      <c r="K119" s="483"/>
      <c r="L119" s="483"/>
      <c r="M119" s="484"/>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0"/>
      <c r="B120" s="485">
        <f>B40</f>
        <v>111</v>
      </c>
      <c r="C120" s="470"/>
      <c r="D120" s="470"/>
      <c r="E120" s="470"/>
      <c r="F120" s="470"/>
      <c r="G120" s="502"/>
      <c r="H120" s="502"/>
      <c r="I120" s="502"/>
      <c r="J120" s="502"/>
      <c r="K120" s="502"/>
      <c r="L120" s="503"/>
      <c r="M120" s="504"/>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5"/>
      <c r="B121" s="646"/>
      <c r="C121" s="517"/>
      <c r="D121" s="517"/>
      <c r="E121" s="517"/>
      <c r="F121" s="517"/>
      <c r="G121" s="538"/>
      <c r="H121" s="538"/>
      <c r="I121" s="538"/>
      <c r="J121" s="538"/>
      <c r="K121" s="538"/>
      <c r="L121" s="538"/>
      <c r="M121" s="539"/>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8"/>
    <col min="19" max="19" width="9" style="130"/>
    <col min="20" max="45" width="9" style="723"/>
    <col min="46" max="16384" width="9" style="130"/>
  </cols>
  <sheetData>
    <row r="1" spans="1:45" ht="14.25" customHeight="1" thickBot="1">
      <c r="A1" s="146"/>
      <c r="B1" s="981" t="s">
        <v>2081</v>
      </c>
      <c r="C1" s="3759" t="s">
        <v>2082</v>
      </c>
      <c r="D1" s="3760"/>
      <c r="E1" s="3760"/>
      <c r="F1" s="3760"/>
      <c r="G1" s="3760"/>
      <c r="H1" s="3760"/>
      <c r="I1" s="3760"/>
      <c r="J1" s="3760"/>
      <c r="K1" s="3760"/>
      <c r="L1" s="3760"/>
      <c r="M1" s="3760"/>
      <c r="N1" s="3760"/>
      <c r="O1" s="3760"/>
      <c r="P1" s="3760"/>
      <c r="Q1" s="3760"/>
      <c r="R1" s="3760"/>
      <c r="S1" s="3761"/>
      <c r="T1" s="981" t="s">
        <v>2083</v>
      </c>
    </row>
    <row r="2" spans="1:45" s="653" customFormat="1">
      <c r="A2" s="982"/>
      <c r="B2" s="649" t="s">
        <v>2084</v>
      </c>
      <c r="C2" s="650" t="str">
        <f t="shared" ref="C2:L2" si="0">C3&amp;"(含)"&amp;"-"&amp;D3</f>
        <v>(含)-</v>
      </c>
      <c r="D2" s="651" t="str">
        <f t="shared" si="0"/>
        <v>(含)-</v>
      </c>
      <c r="E2" s="651" t="str">
        <f t="shared" si="0"/>
        <v>(含)-</v>
      </c>
      <c r="F2" s="651" t="str">
        <f t="shared" si="0"/>
        <v>(含)-</v>
      </c>
      <c r="G2" s="651" t="str">
        <f t="shared" si="0"/>
        <v>(含)-</v>
      </c>
      <c r="H2" s="651" t="str">
        <f t="shared" si="0"/>
        <v>(含)-</v>
      </c>
      <c r="I2" s="651" t="str">
        <f t="shared" si="0"/>
        <v>(含)-</v>
      </c>
      <c r="J2" s="651" t="str">
        <f t="shared" si="0"/>
        <v>(含)-</v>
      </c>
      <c r="K2" s="651" t="str">
        <f t="shared" si="0"/>
        <v>(含)-</v>
      </c>
      <c r="L2" s="651" t="str">
        <f t="shared" si="0"/>
        <v>(含)-</v>
      </c>
      <c r="M2" s="651" t="str">
        <f t="shared" ref="M2" si="1">M3&amp;"(含)"&amp;"-"&amp;N3</f>
        <v>(含)-</v>
      </c>
      <c r="N2" s="651" t="str">
        <f t="shared" ref="N2" si="2">N3&amp;"(含)"&amp;"-"&amp;O3</f>
        <v>(含)-</v>
      </c>
      <c r="O2" s="651" t="str">
        <f t="shared" ref="O2" si="3">O3&amp;"(含)"&amp;"-"&amp;P3</f>
        <v>(含)-</v>
      </c>
      <c r="P2" s="651" t="str">
        <f t="shared" ref="P2" si="4">P3&amp;"(含)"&amp;"-"&amp;Q3</f>
        <v>(含)-</v>
      </c>
      <c r="Q2" s="651" t="str">
        <f t="shared" ref="Q2" si="5">Q3&amp;"(含)"&amp;"-"&amp;R3</f>
        <v>(含)-</v>
      </c>
      <c r="R2" s="651" t="str">
        <f t="shared" ref="R2" si="6">R3&amp;"(含)"&amp;"-"&amp;S3</f>
        <v>(含)-</v>
      </c>
      <c r="S2" s="983" t="str">
        <f>S3&amp;"(含)"&amp;"-"</f>
        <v>(含)-</v>
      </c>
      <c r="T2" s="652"/>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4"/>
      <c r="C3" s="655"/>
      <c r="D3" s="656"/>
      <c r="E3" s="656"/>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c r="D4" s="988"/>
      <c r="E4" s="988"/>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c r="A5" s="992"/>
      <c r="B5" s="1333" t="s">
        <v>2085</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2086</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2087</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3" customFormat="1">
      <c r="A17" s="2142" t="s">
        <v>2091</v>
      </c>
      <c r="B17" s="2143" t="s">
        <v>2092</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3"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4" t="s">
        <v>2093</v>
      </c>
      <c r="E19" s="1337"/>
      <c r="F19" s="1337"/>
      <c r="G19" s="1337"/>
      <c r="H19" s="1057"/>
      <c r="I19" s="159"/>
      <c r="J19" s="159"/>
      <c r="K19" s="159"/>
      <c r="L19" s="159"/>
      <c r="M19" s="159"/>
      <c r="N19" s="159"/>
      <c r="O19" s="159"/>
      <c r="P19" s="159"/>
      <c r="Q19" s="159"/>
      <c r="R19" s="716"/>
      <c r="S19" s="129"/>
    </row>
    <row r="20" spans="1:45" ht="16.5" thickBot="1">
      <c r="A20" s="660" t="s">
        <v>2094</v>
      </c>
      <c r="B20" s="294" t="e">
        <f ca="1">IF(D20="——",S22,S22-F20)</f>
        <v>#REF!</v>
      </c>
      <c r="C20" s="159"/>
      <c r="D20" s="2145"/>
      <c r="E20" s="1338"/>
      <c r="F20" s="981" t="e">
        <f ca="1">SUMIF(INDIRECT("'"&amp;H20&amp;"'"&amp;"!A:A"),"承租人权益价值",INDIRECT("'"&amp;H20&amp;"'"&amp;"!c:c"))</f>
        <v>#REF!</v>
      </c>
      <c r="G20" s="981" t="s">
        <v>2095</v>
      </c>
      <c r="H20" s="2146"/>
      <c r="I20" s="159"/>
      <c r="J20" s="159"/>
      <c r="K20" s="159"/>
      <c r="L20" s="159"/>
      <c r="M20" s="159"/>
      <c r="N20" s="159"/>
      <c r="O20" s="159"/>
      <c r="P20" s="159"/>
      <c r="Q20" s="159"/>
      <c r="R20" s="716"/>
      <c r="S20" s="129"/>
    </row>
    <row r="21" spans="1:45" ht="15.75">
      <c r="A21" s="660" t="s">
        <v>2096</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2097</v>
      </c>
      <c r="B22" s="21">
        <f>SUM(B24:B10000)</f>
        <v>0</v>
      </c>
      <c r="C22" s="3756" t="s">
        <v>27</v>
      </c>
      <c r="D22" s="3757"/>
      <c r="E22" s="3757"/>
      <c r="F22" s="3757"/>
      <c r="G22" s="3757"/>
      <c r="H22" s="3757"/>
      <c r="I22" s="3757"/>
      <c r="J22" s="3757"/>
      <c r="K22" s="3757"/>
      <c r="L22" s="3757"/>
      <c r="M22" s="3757"/>
      <c r="N22" s="3757"/>
      <c r="O22" s="3757"/>
      <c r="P22" s="3757"/>
      <c r="Q22" s="3758"/>
      <c r="R22" s="661"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t="s">
        <v>2103</v>
      </c>
      <c r="B24" s="663"/>
      <c r="C24" s="2801">
        <v>1</v>
      </c>
      <c r="D24" s="2802"/>
      <c r="E24" s="2801">
        <v>1</v>
      </c>
      <c r="F24" s="2802"/>
      <c r="G24" s="2801">
        <v>1</v>
      </c>
      <c r="H24" s="2802"/>
      <c r="I24" s="2801">
        <v>1</v>
      </c>
      <c r="J24" s="2802"/>
      <c r="K24" s="2801">
        <v>1</v>
      </c>
      <c r="L24" s="2802"/>
      <c r="M24" s="2801">
        <v>1</v>
      </c>
      <c r="N24" s="2802"/>
      <c r="O24" s="2801">
        <v>1</v>
      </c>
      <c r="P24" s="2802"/>
      <c r="Q24" s="2801">
        <v>1</v>
      </c>
      <c r="R24" s="666"/>
      <c r="S24" s="664">
        <f t="shared" ref="S24:S54" si="11">ROUND(R24*B24/10000,0)</f>
        <v>0</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c r="B25" s="54"/>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IF(B25="",0,ROUND($R$24*C25*E25*G25*I25*K25*M25*O25*Q25,0))</f>
        <v>0</v>
      </c>
      <c r="S25" s="316">
        <f t="shared" si="11"/>
        <v>0</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2079</v>
      </c>
      <c r="B1" s="2141"/>
      <c r="C1" s="2141"/>
      <c r="D1" s="2141"/>
      <c r="E1" s="2141"/>
      <c r="F1" s="2784"/>
      <c r="G1" s="2784"/>
      <c r="H1" s="2784"/>
      <c r="I1" s="2784"/>
      <c r="J1" s="2784"/>
      <c r="K1" s="2784"/>
      <c r="L1" s="2784"/>
      <c r="M1" s="2784"/>
      <c r="N1" s="2784"/>
      <c r="O1" s="2784"/>
      <c r="P1" s="2784"/>
    </row>
    <row r="2" spans="1:16" ht="15.75">
      <c r="A2" s="2139" t="s">
        <v>2071</v>
      </c>
      <c r="B2" s="2593" t="e">
        <f ca="1">SUMIF(B6:B13,"&lt;&gt;#ref!",B6:B13)</f>
        <v>#DIV/0!</v>
      </c>
      <c r="C2" s="2139" t="s">
        <v>2072</v>
      </c>
      <c r="D2" s="2139" t="s">
        <v>2073</v>
      </c>
      <c r="E2" s="2603">
        <f ca="1">SUMIF(E6:E13,"&lt;&gt;#ref!",E6:E13)</f>
        <v>0</v>
      </c>
      <c r="F2" s="2784"/>
      <c r="G2" s="2784"/>
      <c r="H2" s="2784"/>
      <c r="I2" s="2784"/>
      <c r="J2" s="2784"/>
      <c r="K2" s="2784"/>
      <c r="L2" s="2784"/>
      <c r="M2" s="2784"/>
      <c r="N2" s="2784"/>
      <c r="O2" s="2784"/>
      <c r="P2" s="2784"/>
    </row>
    <row r="3" spans="1:16" ht="15.75">
      <c r="A3" s="2139" t="s">
        <v>2074</v>
      </c>
      <c r="B3" s="2593" t="e">
        <f ca="1">ROUND(B2*10000/E2,0)</f>
        <v>#DIV/0!</v>
      </c>
      <c r="C3" s="2139" t="s">
        <v>2080</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2075</v>
      </c>
      <c r="B5" s="2601" t="s">
        <v>2076</v>
      </c>
      <c r="C5" s="2140"/>
      <c r="D5" s="2784"/>
      <c r="E5" s="2602" t="s">
        <v>2077</v>
      </c>
      <c r="F5" s="2784"/>
      <c r="G5" s="2784"/>
      <c r="H5" s="2784"/>
      <c r="I5" s="2784"/>
      <c r="J5" s="2784"/>
      <c r="K5" s="2784"/>
      <c r="L5" s="2784"/>
      <c r="M5" s="2784"/>
      <c r="N5" s="2784"/>
      <c r="O5" s="2784"/>
      <c r="P5" s="2784"/>
    </row>
    <row r="6" spans="1:16" ht="15.75">
      <c r="A6" s="2600" t="s">
        <v>2078</v>
      </c>
      <c r="B6" s="2593" t="e">
        <f ca="1">SUMIF(INDIRECT("'"&amp;A6&amp;"'"&amp;"!A:A"),"总价",INDIRECT("'"&amp;A6&amp;"'"&amp;"!B:B"))</f>
        <v>#DIV/0!</v>
      </c>
      <c r="C6" s="2139" t="s">
        <v>2072</v>
      </c>
      <c r="D6" s="2784"/>
      <c r="E6" s="2603">
        <f ca="1">SUMIF(INDIRECT("'"&amp;A6&amp;"'"&amp;"!C:C"),"建筑面积",INDIRECT("'"&amp;A6&amp;"'"&amp;"!D:D"))</f>
        <v>0</v>
      </c>
      <c r="F6" s="2784"/>
      <c r="G6" s="2784"/>
      <c r="H6" s="2784"/>
      <c r="I6" s="2784"/>
      <c r="J6" s="2784"/>
      <c r="K6" s="2784"/>
      <c r="L6" s="2784"/>
      <c r="M6" s="2784"/>
      <c r="N6" s="2784"/>
      <c r="O6" s="2784"/>
      <c r="P6" s="2784"/>
    </row>
    <row r="7" spans="1:16" ht="15.75">
      <c r="A7" s="2600"/>
      <c r="B7" s="2593" t="e">
        <f ca="1">SUMIF(INDIRECT("'"&amp;A7&amp;"'"&amp;"!A:A"),"总价",INDIRECT("'"&amp;A7&amp;"'"&amp;"!B:B"))</f>
        <v>#REF!</v>
      </c>
      <c r="C7" s="2139" t="s">
        <v>2072</v>
      </c>
      <c r="D7" s="2784"/>
      <c r="E7" s="2603" t="e">
        <f t="shared" ref="E7:E13" ca="1" si="0">SUMIF(INDIRECT("'"&amp;A7&amp;"'"&amp;"!C:C"),"建筑面积",INDIRECT("'"&amp;A7&amp;"'"&amp;"!D:D"))</f>
        <v>#REF!</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39" t="s">
        <v>2072</v>
      </c>
      <c r="D8" s="2784"/>
      <c r="E8" s="2603" t="e">
        <f t="shared" ca="1" si="0"/>
        <v>#REF!</v>
      </c>
      <c r="F8" s="2784"/>
      <c r="G8" s="2784"/>
      <c r="H8" s="2784"/>
      <c r="I8" s="2784"/>
      <c r="J8" s="2784"/>
      <c r="K8" s="2784"/>
      <c r="L8" s="2784"/>
      <c r="M8" s="2784"/>
      <c r="N8" s="2784"/>
      <c r="O8" s="2784"/>
      <c r="P8" s="2784"/>
    </row>
    <row r="9" spans="1:16" ht="15.75">
      <c r="A9" s="2600"/>
      <c r="B9" s="2593" t="e">
        <f t="shared" ca="1" si="1"/>
        <v>#REF!</v>
      </c>
      <c r="C9" s="2139" t="s">
        <v>2072</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39" t="s">
        <v>2072</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39" t="s">
        <v>2072</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39" t="s">
        <v>2072</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39" t="s">
        <v>2072</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0"/>
      <c r="B4" s="3476" t="s">
        <v>917</v>
      </c>
      <c r="C4" s="3476"/>
      <c r="D4" s="3476"/>
      <c r="E4" s="1490"/>
    </row>
    <row r="5" spans="1:5" ht="16.5" thickTop="1">
      <c r="A5" s="1488"/>
      <c r="B5" s="3474" t="s">
        <v>909</v>
      </c>
      <c r="C5" s="1491" t="s">
        <v>910</v>
      </c>
      <c r="D5" s="848">
        <f ca="1">结果表!H101</f>
        <v>524696</v>
      </c>
      <c r="E5" s="1488"/>
    </row>
    <row r="6" spans="1:5" ht="15.75">
      <c r="A6" s="1488"/>
      <c r="B6" s="3474"/>
      <c r="C6" s="1491" t="s">
        <v>911</v>
      </c>
      <c r="D6" s="848" t="str">
        <f ca="1">NUMBERSTRING(INT(D5*10000),2)&amp;"元整"</f>
        <v>伍拾贰亿肆仟陆佰玖拾陆万元整</v>
      </c>
      <c r="E6" s="1488"/>
    </row>
    <row r="7" spans="1:5" ht="15.75">
      <c r="A7" s="1488"/>
      <c r="B7" s="3479"/>
      <c r="C7" s="1492" t="s">
        <v>912</v>
      </c>
      <c r="D7" s="849">
        <f ca="1">结果表!H102</f>
        <v>49920</v>
      </c>
      <c r="E7" s="1488"/>
    </row>
    <row r="8" spans="1:5" ht="15.75">
      <c r="A8" s="1488"/>
      <c r="B8" s="3480" t="str">
        <f>结果表!E103</f>
        <v>2.估价师知悉的法定优先受偿款</v>
      </c>
      <c r="C8" s="1493" t="s">
        <v>913</v>
      </c>
      <c r="D8" s="849">
        <f>结果表!H103</f>
        <v>0</v>
      </c>
      <c r="E8" s="1488"/>
    </row>
    <row r="9" spans="1:5" ht="15.75">
      <c r="A9" s="1488"/>
      <c r="B9" s="3482"/>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73" t="str">
        <f>结果表!E107</f>
        <v>3.房地产抵押价值</v>
      </c>
      <c r="C13" s="1496" t="s">
        <v>910</v>
      </c>
      <c r="D13" s="851">
        <f ca="1">结果表!H107</f>
        <v>524696</v>
      </c>
      <c r="E13" s="1488"/>
    </row>
    <row r="14" spans="1:5" ht="15.75">
      <c r="A14" s="1488"/>
      <c r="B14" s="3474"/>
      <c r="C14" s="1491" t="s">
        <v>911</v>
      </c>
      <c r="D14" s="848" t="str">
        <f ca="1">NUMBERSTRING(INT(D13*10000),2)&amp;"元整"</f>
        <v>伍拾贰亿肆仟陆佰玖拾陆万元整</v>
      </c>
      <c r="E14" s="1488"/>
    </row>
    <row r="15" spans="1:5" ht="15">
      <c r="A15" s="1488"/>
      <c r="B15" s="3479"/>
      <c r="C15" s="1492" t="s">
        <v>921</v>
      </c>
      <c r="D15" s="857">
        <f ca="1">结果表!H108</f>
        <v>49920</v>
      </c>
      <c r="E15" s="1488"/>
    </row>
    <row r="16" spans="1:5" ht="15">
      <c r="A16" s="1488"/>
      <c r="B16" s="3480" t="str">
        <f>结果表!E109</f>
        <v>——</v>
      </c>
      <c r="C16" s="1496" t="s">
        <v>922</v>
      </c>
      <c r="D16" s="1497" t="str">
        <f>结果表!H109</f>
        <v>——</v>
      </c>
      <c r="E16" s="1488"/>
    </row>
    <row r="17" spans="1:5" ht="15.75">
      <c r="A17" s="1488"/>
      <c r="B17" s="3481"/>
      <c r="C17" s="1491" t="s">
        <v>923</v>
      </c>
      <c r="D17" s="848" t="e">
        <f>NUMBERSTRING(INT(D16*10000),2)&amp;"元整"</f>
        <v>#VALUE!</v>
      </c>
      <c r="E17" s="1488"/>
    </row>
    <row r="18" spans="1:5" ht="15">
      <c r="A18" s="1488"/>
      <c r="B18" s="3482"/>
      <c r="C18" s="1492" t="s">
        <v>912</v>
      </c>
      <c r="D18" s="857" t="str">
        <f>结果表!H110</f>
        <v>——</v>
      </c>
      <c r="E18" s="1488"/>
    </row>
    <row r="19" spans="1:5" ht="15.75">
      <c r="A19" s="1488"/>
      <c r="B19" s="3473" t="str">
        <f>结果表!E111</f>
        <v>——</v>
      </c>
      <c r="C19" s="1496" t="s">
        <v>910</v>
      </c>
      <c r="D19" s="849" t="str">
        <f>结果表!H111</f>
        <v>——</v>
      </c>
      <c r="E19" s="1488"/>
    </row>
    <row r="20" spans="1:5" ht="15.75">
      <c r="A20" s="1488"/>
      <c r="B20" s="3474"/>
      <c r="C20" s="1491" t="s">
        <v>923</v>
      </c>
      <c r="D20" s="848" t="e">
        <f>NUMBERSTRING(INT(D19*10000),2)&amp;"元整"</f>
        <v>#VALUE!</v>
      </c>
      <c r="E20" s="1488"/>
    </row>
    <row r="21" spans="1:5" ht="15.75" thickBot="1">
      <c r="A21" s="1488"/>
      <c r="B21" s="3475"/>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workbookViewId="0">
      <pane ySplit="5" topLeftCell="A6" activePane="bottomLeft" state="frozen"/>
      <selection pane="bottomLeft" activeCell="A4" sqref="A4"/>
    </sheetView>
  </sheetViews>
  <sheetFormatPr defaultRowHeight="13.5"/>
  <sheetData>
    <row r="1" spans="1:3">
      <c r="A1" s="3441" t="s">
        <v>3891</v>
      </c>
      <c r="B1" s="3441" t="s">
        <v>3892</v>
      </c>
      <c r="C1" s="3441" t="s">
        <v>3889</v>
      </c>
    </row>
    <row r="2" spans="1:3">
      <c r="A2" s="3441" t="s">
        <v>3881</v>
      </c>
      <c r="B2">
        <f>ROUND(2427*10000/49,0)</f>
        <v>495306</v>
      </c>
      <c r="C2">
        <f>ROUND(1831/49,0)</f>
        <v>37</v>
      </c>
    </row>
    <row r="3" spans="1:3">
      <c r="A3" s="3441" t="s">
        <v>3851</v>
      </c>
      <c r="B3">
        <f>ROUND(327.1*10000/8,0)</f>
        <v>408875</v>
      </c>
      <c r="C3">
        <f>ROUND(344/8,0)</f>
        <v>43</v>
      </c>
    </row>
    <row r="4" spans="1:3">
      <c r="A4" s="3441" t="s">
        <v>3900</v>
      </c>
      <c r="B4">
        <f>ROUND(810.42*10000/19,0)</f>
        <v>426537</v>
      </c>
      <c r="C4">
        <f>ROUND(731/19,0)</f>
        <v>38</v>
      </c>
    </row>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C23" sqref="C2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9" customWidth="1"/>
    <col min="33" max="36" width="9.375" style="2047" customWidth="1"/>
    <col min="37" max="38" width="9.375" style="1992" customWidth="1"/>
    <col min="39" max="16384" width="12" style="1992"/>
  </cols>
  <sheetData>
    <row r="1" spans="1:36" ht="28.5">
      <c r="A1" s="196" t="s">
        <v>1924</v>
      </c>
      <c r="B1" s="197"/>
      <c r="C1" s="201" t="s">
        <v>1925</v>
      </c>
      <c r="D1" s="342">
        <f>SUM(D33:D34,D37:D42)</f>
        <v>0</v>
      </c>
      <c r="E1" s="1989"/>
      <c r="F1" s="1989"/>
      <c r="G1" s="1989"/>
      <c r="H1" s="1989"/>
      <c r="I1" s="1989"/>
      <c r="J1" s="1989"/>
      <c r="K1" s="1117"/>
      <c r="L1" s="1990" t="s">
        <v>1926</v>
      </c>
      <c r="M1" s="861">
        <f>SUMPRODUCT((区片价!B5:B9=I2)*(区片价!C3:G3=E2)*(区片价!C5:G9))</f>
        <v>0</v>
      </c>
      <c r="N1" s="864">
        <f>SUMPRODUCT((因素修正幅度!B5:B9=I2)*(因素修正幅度!C3:G3=E2)*(因素修正幅度!C5:G9))</f>
        <v>0</v>
      </c>
      <c r="O1" s="1991"/>
      <c r="P1" s="1991"/>
      <c r="Q1" s="1117"/>
      <c r="R1" s="1209" t="s">
        <v>1927</v>
      </c>
      <c r="S1" s="1209" t="s">
        <v>1928</v>
      </c>
      <c r="T1" s="1209" t="s">
        <v>1929</v>
      </c>
      <c r="U1" s="1209" t="s">
        <v>1930</v>
      </c>
      <c r="V1" s="1209" t="s">
        <v>1931</v>
      </c>
      <c r="W1" s="1213"/>
      <c r="X1" s="1213"/>
      <c r="Y1" s="1213"/>
      <c r="Z1" s="1213"/>
      <c r="AA1" s="1213"/>
      <c r="AB1" s="1213"/>
      <c r="AC1" s="1214"/>
      <c r="AD1" s="1215"/>
      <c r="AE1" s="1215"/>
      <c r="AF1" s="1215"/>
      <c r="AG1" s="1215"/>
      <c r="AH1" s="1215"/>
      <c r="AI1" s="1215"/>
      <c r="AJ1" s="1216"/>
    </row>
    <row r="2" spans="1:36" ht="15.75">
      <c r="A2" s="201" t="s">
        <v>1932</v>
      </c>
      <c r="B2" s="204" t="e">
        <f>C30</f>
        <v>#DIV/0!</v>
      </c>
      <c r="C2" s="1993" t="s">
        <v>1933</v>
      </c>
      <c r="D2" s="1994" t="s">
        <v>1934</v>
      </c>
      <c r="E2" s="3413"/>
      <c r="F2" s="1994" t="s">
        <v>1935</v>
      </c>
      <c r="G2" s="1995" t="str">
        <f>IF(E2="商业",项目基本情况!B37,IF(E2="办公",项目基本情况!C37,IF(E2="住宅",项目基本情况!D37,IF(E2="工业",项目基本情况!E37,项目基本情况!F37))))</f>
        <v>六级</v>
      </c>
      <c r="H2" s="1994" t="s">
        <v>1936</v>
      </c>
      <c r="I2" s="1995" t="str">
        <f>IF(E2="商业",项目基本情况!B38,IF(E2="办公",项目基本情况!C38,IF(E2="住宅",项目基本情况!D38,IF(E2="工业",项目基本情况!E38,项目基本情况!F38))))</f>
        <v>Ⅵ-06</v>
      </c>
      <c r="J2" s="1996"/>
      <c r="K2" s="1117"/>
      <c r="L2" s="1997" t="s">
        <v>1937</v>
      </c>
      <c r="M2" s="862">
        <f>SUMPRODUCT((区片价!B10:B29=I2)*(区片价!C3:G3=E2)*(区片价!C10:G29))</f>
        <v>0</v>
      </c>
      <c r="N2" s="864">
        <f>SUMPRODUCT((因素修正幅度!B10:B29=I2)*(因素修正幅度!C3:G3=E2)*(因素修正幅度!C10:G29))</f>
        <v>0</v>
      </c>
      <c r="O2" s="1117"/>
      <c r="P2" s="1117"/>
      <c r="Q2" s="1117"/>
      <c r="R2" s="1209">
        <v>1</v>
      </c>
      <c r="S2" s="3352">
        <f>ROUND(SUMPRODUCT((B106:B110=R2)*(C105:N105=G2)*(C106:N110)),4)</f>
        <v>1.5019</v>
      </c>
      <c r="T2" s="3352" t="e">
        <f t="shared" ref="T2:T16" si="0">ROUND($C$5*$C$22*$C$23*$C$24*S2*$C$28,0)</f>
        <v>#DIV/0!</v>
      </c>
      <c r="U2" s="1210"/>
      <c r="V2" s="3352" t="e">
        <f>ROUND(T2*U2/10000,0)</f>
        <v>#DIV/0!</v>
      </c>
      <c r="W2" s="1213"/>
      <c r="X2" s="1213"/>
      <c r="Y2" s="1213"/>
      <c r="Z2" s="1213"/>
      <c r="AA2" s="1213"/>
      <c r="AB2" s="1213"/>
      <c r="AC2" s="1214"/>
      <c r="AD2" s="1215"/>
      <c r="AE2" s="1215"/>
      <c r="AF2" s="1215"/>
      <c r="AG2" s="1215"/>
      <c r="AH2" s="1215"/>
      <c r="AI2" s="1215"/>
      <c r="AJ2" s="1216"/>
    </row>
    <row r="3" spans="1:36" ht="15.75">
      <c r="A3" s="203" t="s">
        <v>1938</v>
      </c>
      <c r="B3" s="204" t="e">
        <f>ROUND(B2*10000/D1,0)</f>
        <v>#DIV/0!</v>
      </c>
      <c r="C3" s="1993" t="s">
        <v>1939</v>
      </c>
      <c r="D3" s="1994" t="s">
        <v>1940</v>
      </c>
      <c r="E3" s="3411"/>
      <c r="F3" s="1998"/>
      <c r="G3" s="750">
        <f>IF(F3="宗地容积率",'数据-汇总表'!I4,IF(F3="估价对象容积率",'数据-汇总表'!I6,'数据-汇总表'!I7))</f>
        <v>0</v>
      </c>
      <c r="H3" s="170" t="s">
        <v>1941</v>
      </c>
      <c r="I3" s="773"/>
      <c r="J3" s="1996" t="s">
        <v>1942</v>
      </c>
      <c r="K3" s="1117"/>
      <c r="L3" s="1997" t="s">
        <v>1943</v>
      </c>
      <c r="M3" s="862">
        <f>SUMPRODUCT((区片价!B30:B54=I2)*(区片价!C3:G3=E2)*(区片价!C30:G54))</f>
        <v>0</v>
      </c>
      <c r="N3" s="864">
        <f>SUMPRODUCT((因素修正幅度!B30:B54=I2)*(因素修正幅度!C3:G3=E2)*(因素修正幅度!C30:G54))</f>
        <v>0</v>
      </c>
      <c r="O3" s="1117"/>
      <c r="P3" s="1117"/>
      <c r="Q3" s="1117"/>
      <c r="R3" s="1209">
        <v>2</v>
      </c>
      <c r="S3" s="3352">
        <f>ROUND(SUMPRODUCT((B106:B110=R3)*(C105:N105=G2)*(C106:N110)),4)</f>
        <v>1.1838</v>
      </c>
      <c r="T3" s="3352" t="e">
        <f t="shared" si="0"/>
        <v>#DIV/0!</v>
      </c>
      <c r="U3" s="1210"/>
      <c r="V3" s="3352" t="e">
        <f t="shared" ref="V3:V16" si="1">ROUND(T3*U3/10000,0)</f>
        <v>#DIV/0!</v>
      </c>
      <c r="W3" s="1213"/>
      <c r="X3" s="1213"/>
      <c r="Y3" s="1213"/>
      <c r="Z3" s="1213"/>
      <c r="AA3" s="1213"/>
      <c r="AB3" s="1213"/>
      <c r="AC3" s="1214"/>
      <c r="AD3" s="1215"/>
      <c r="AE3" s="1215"/>
      <c r="AF3" s="1215"/>
      <c r="AG3" s="1215"/>
      <c r="AH3" s="1215"/>
      <c r="AI3" s="1215"/>
      <c r="AJ3" s="1216"/>
    </row>
    <row r="4" spans="1:36" ht="15.75">
      <c r="A4" s="3769"/>
      <c r="B4" s="3770"/>
      <c r="C4" s="3770"/>
      <c r="D4" s="3771"/>
      <c r="E4" s="3771"/>
      <c r="F4" s="3771"/>
      <c r="G4" s="3771"/>
      <c r="H4" s="3771"/>
      <c r="I4" s="3771"/>
      <c r="J4" s="3772"/>
      <c r="K4" s="1117"/>
      <c r="L4" s="1997" t="s">
        <v>1944</v>
      </c>
      <c r="M4" s="862">
        <f>SUMPRODUCT((区片价!B55:B86=I2)*(区片价!C3:G3=E2)*(区片价!C55:G86))</f>
        <v>0</v>
      </c>
      <c r="N4" s="864">
        <f>SUMPRODUCT((因素修正幅度!B55:B86=I2)*(因素修正幅度!C3:G3=E2)*(因素修正幅度!C55:G86))</f>
        <v>0</v>
      </c>
      <c r="O4" s="1117"/>
      <c r="P4" s="1117"/>
      <c r="Q4" s="1117"/>
      <c r="R4" s="1209">
        <v>3</v>
      </c>
      <c r="S4" s="3352">
        <f>ROUND(SUMPRODUCT((B106:B110=R4)*(C105:N105=G2)*(C106:N110)),4)</f>
        <v>1.0004999999999999</v>
      </c>
      <c r="T4" s="3352" t="e">
        <f t="shared" si="0"/>
        <v>#DIV/0!</v>
      </c>
      <c r="U4" s="1210"/>
      <c r="V4" s="3352" t="e">
        <f t="shared" si="1"/>
        <v>#DIV/0!</v>
      </c>
      <c r="W4" s="1213"/>
      <c r="X4" s="1213"/>
      <c r="Y4" s="1213"/>
      <c r="Z4" s="1213"/>
      <c r="AA4" s="1213"/>
      <c r="AB4" s="1213"/>
      <c r="AC4" s="1214"/>
      <c r="AD4" s="1215"/>
      <c r="AE4" s="1215"/>
      <c r="AF4" s="1215"/>
      <c r="AG4" s="1215"/>
      <c r="AH4" s="1215"/>
      <c r="AI4" s="1215"/>
      <c r="AJ4" s="1216"/>
    </row>
    <row r="5" spans="1:36" s="2008" customFormat="1" ht="15.75" thickBot="1">
      <c r="A5" s="1999" t="s">
        <v>362</v>
      </c>
      <c r="B5" s="2000" t="s">
        <v>1945</v>
      </c>
      <c r="C5" s="751" t="e">
        <f>ROUND(IF(E2="商业",C6*C7*C17+C20,(IF(E2="住宅",C6*C13*C17+C20,IF(E2="办公",C6*C12*C17+C20,C6+C20)))),0)</f>
        <v>#DIV/0!</v>
      </c>
      <c r="D5" s="1336" t="e">
        <f>ROUND(C6*C17+C20,0)</f>
        <v>#DIV/0!</v>
      </c>
      <c r="E5" s="1336"/>
      <c r="F5" s="2001"/>
      <c r="G5" s="2002"/>
      <c r="H5" s="2002"/>
      <c r="I5" s="2002"/>
      <c r="J5" s="2003"/>
      <c r="K5" s="2004"/>
      <c r="L5" s="1997" t="s">
        <v>1946</v>
      </c>
      <c r="M5" s="862">
        <f>SUMPRODUCT((区片价!B87:B126=I2)*(区片价!C3:G3=E2)*(区片价!C87:G126))</f>
        <v>0</v>
      </c>
      <c r="N5" s="864">
        <f>SUMPRODUCT((因素修正幅度!B87:B126=I2)*(因素修正幅度!C3:G3=E2)*(因素修正幅度!C87:G126))</f>
        <v>0</v>
      </c>
      <c r="O5" s="1117"/>
      <c r="P5" s="1117"/>
      <c r="Q5" s="1117"/>
      <c r="R5" s="1209">
        <v>4</v>
      </c>
      <c r="S5" s="3352">
        <f>ROUND(SUMPRODUCT((B106:B110=R5)*(C105:N105=G2)*(C106:N110)),4)</f>
        <v>0.88239999999999996</v>
      </c>
      <c r="T5" s="3352" t="e">
        <f t="shared" si="0"/>
        <v>#DIV/0!</v>
      </c>
      <c r="U5" s="1210"/>
      <c r="V5" s="3352" t="e">
        <f t="shared" si="1"/>
        <v>#DIV/0!</v>
      </c>
      <c r="W5" s="1213"/>
      <c r="X5" s="1213"/>
      <c r="Y5" s="1213"/>
      <c r="Z5" s="1213"/>
      <c r="AA5" s="1213"/>
      <c r="AB5" s="1213"/>
      <c r="AC5" s="2005"/>
      <c r="AD5" s="2006"/>
      <c r="AE5" s="2006"/>
      <c r="AF5" s="2006"/>
      <c r="AG5" s="2006"/>
      <c r="AH5" s="2006"/>
      <c r="AI5" s="2006"/>
      <c r="AJ5" s="2007"/>
    </row>
    <row r="6" spans="1:36" ht="15.75" thickBot="1">
      <c r="A6" s="2009" t="s">
        <v>1947</v>
      </c>
      <c r="B6" s="2010" t="s">
        <v>1948</v>
      </c>
      <c r="C6" s="752">
        <f>SUMIF(L1:L12,G2,M1:M12)</f>
        <v>0</v>
      </c>
      <c r="D6" s="2011"/>
      <c r="E6" s="2012"/>
      <c r="F6" s="2012"/>
      <c r="G6" s="2013"/>
      <c r="H6" s="2013"/>
      <c r="I6" s="2013"/>
      <c r="J6" s="2014"/>
      <c r="K6" s="1381"/>
      <c r="L6" s="1997" t="s">
        <v>1949</v>
      </c>
      <c r="M6" s="862">
        <f>SUMPRODUCT((区片价!B127:B189=I2)*(区片价!C3:G3=E2)*(区片价!C127:G189))</f>
        <v>0</v>
      </c>
      <c r="N6" s="864">
        <f>SUMPRODUCT((因素修正幅度!B127:B189=I2)*(因素修正幅度!C3:G3=E2)*(因素修正幅度!C127:G189))</f>
        <v>0</v>
      </c>
      <c r="O6" s="1117"/>
      <c r="P6" s="1117"/>
      <c r="Q6" s="1117"/>
      <c r="R6" s="1209">
        <v>5</v>
      </c>
      <c r="S6" s="3352">
        <f>ROUND(SUMPRODUCT((B106:B110=R6)*(C105:N105=G2)*(C106:N110)),4)</f>
        <v>0.84799999999999998</v>
      </c>
      <c r="T6" s="3352" t="e">
        <f t="shared" si="0"/>
        <v>#DIV/0!</v>
      </c>
      <c r="U6" s="1210"/>
      <c r="V6" s="3352" t="e">
        <f t="shared" si="1"/>
        <v>#DIV/0!</v>
      </c>
      <c r="W6" s="1213"/>
      <c r="X6" s="1213"/>
      <c r="Y6" s="1213"/>
      <c r="Z6" s="1213"/>
      <c r="AA6" s="1213"/>
      <c r="AB6" s="1213"/>
      <c r="AC6" s="2005"/>
      <c r="AD6" s="2006"/>
      <c r="AE6" s="2006"/>
      <c r="AF6" s="2006"/>
      <c r="AG6" s="2006"/>
      <c r="AH6" s="2006"/>
      <c r="AI6" s="2006"/>
      <c r="AJ6" s="2007"/>
    </row>
    <row r="7" spans="1:36" ht="24.75" thickBot="1">
      <c r="A7" s="3295" t="s">
        <v>3230</v>
      </c>
      <c r="B7" s="2015" t="s">
        <v>1950</v>
      </c>
      <c r="C7" s="753" t="e">
        <f>IF(C8="不临65条商业街",1,ROUND(1+(1.6*E8+1.2*E9+0.8*E10+0.4*E11)*C9,4))</f>
        <v>#DIV/0!</v>
      </c>
      <c r="D7" s="2016" t="s">
        <v>1951</v>
      </c>
      <c r="E7" s="774"/>
      <c r="F7" s="2017"/>
      <c r="G7" s="2018"/>
      <c r="H7" s="2018"/>
      <c r="I7" s="2018"/>
      <c r="J7" s="2019"/>
      <c r="K7" s="1381"/>
      <c r="L7" s="1997" t="s">
        <v>1952</v>
      </c>
      <c r="M7" s="862">
        <f>SUMPRODUCT((区片价!B190:B233=I2)*(区片价!C3:G3=E2)*(区片价!C190:G233))</f>
        <v>0</v>
      </c>
      <c r="N7" s="864">
        <f>SUMPRODUCT((因素修正幅度!B190:B233=I2)*(因素修正幅度!C3:G3=E2)*(因素修正幅度!C190:G233))</f>
        <v>0</v>
      </c>
      <c r="O7" s="1117"/>
      <c r="P7" s="1117"/>
      <c r="Q7" s="1117"/>
      <c r="R7" s="1209">
        <v>6</v>
      </c>
      <c r="S7" s="3410"/>
      <c r="T7" s="3352" t="e">
        <f t="shared" si="0"/>
        <v>#DIV/0!</v>
      </c>
      <c r="U7" s="1210"/>
      <c r="V7" s="3352" t="e">
        <f t="shared" si="1"/>
        <v>#DIV/0!</v>
      </c>
      <c r="W7" s="1355" t="s">
        <v>1953</v>
      </c>
      <c r="X7" s="1211" t="str">
        <f>G2</f>
        <v>六级</v>
      </c>
      <c r="Y7" s="1211" t="s">
        <v>1954</v>
      </c>
      <c r="Z7" s="1212">
        <f>G3</f>
        <v>0</v>
      </c>
      <c r="AA7" s="1213"/>
      <c r="AB7" s="1213"/>
      <c r="AC7" s="1214"/>
      <c r="AD7" s="1215"/>
      <c r="AE7" s="1215"/>
      <c r="AF7" s="1215"/>
      <c r="AG7" s="1215"/>
      <c r="AH7" s="1215"/>
      <c r="AI7" s="1215"/>
      <c r="AJ7" s="1216"/>
    </row>
    <row r="8" spans="1:36" ht="15">
      <c r="A8" s="3290"/>
      <c r="B8" s="170" t="s">
        <v>1955</v>
      </c>
      <c r="C8" s="2020"/>
      <c r="D8" s="754" t="s">
        <v>112</v>
      </c>
      <c r="E8" s="755" t="e">
        <f>ROUND(C11/E7,4)</f>
        <v>#DIV/0!</v>
      </c>
      <c r="F8" s="2021" t="s">
        <v>1956</v>
      </c>
      <c r="G8" s="2022"/>
      <c r="H8" s="2022"/>
      <c r="I8" s="2022"/>
      <c r="J8" s="2023"/>
      <c r="K8" s="1117"/>
      <c r="L8" s="1997" t="s">
        <v>1957</v>
      </c>
      <c r="M8" s="862">
        <f>SUMPRODUCT((区片价!B234:B276=I2)*(区片价!C3:G3=E2)*(区片价!C234:G276))</f>
        <v>0</v>
      </c>
      <c r="N8" s="864">
        <f>SUMPRODUCT((因素修正幅度!B234:B276=I2)*(因素修正幅度!C3:G3=E2)*(因素修正幅度!C234:G276))</f>
        <v>0</v>
      </c>
      <c r="O8" s="1117"/>
      <c r="P8" s="1117"/>
      <c r="Q8" s="1117"/>
      <c r="R8" s="1209">
        <v>7</v>
      </c>
      <c r="S8" s="1210"/>
      <c r="T8" s="3352" t="e">
        <f t="shared" si="0"/>
        <v>#DIV/0!</v>
      </c>
      <c r="U8" s="1210"/>
      <c r="V8" s="3352" t="e">
        <f t="shared" si="1"/>
        <v>#DIV/0!</v>
      </c>
      <c r="W8" s="3766" t="s">
        <v>1958</v>
      </c>
      <c r="X8" s="3767"/>
      <c r="Y8" s="1217" t="s">
        <v>1959</v>
      </c>
      <c r="Z8" s="1217" t="s">
        <v>1960</v>
      </c>
      <c r="AA8" s="1217" t="s">
        <v>1961</v>
      </c>
      <c r="AB8" s="1217" t="s">
        <v>1962</v>
      </c>
      <c r="AC8" s="1217" t="s">
        <v>1963</v>
      </c>
      <c r="AD8" s="1217" t="s">
        <v>1964</v>
      </c>
      <c r="AE8" s="1217" t="s">
        <v>1965</v>
      </c>
      <c r="AF8" s="1217" t="s">
        <v>1966</v>
      </c>
      <c r="AG8" s="1217" t="s">
        <v>1967</v>
      </c>
      <c r="AH8" s="1217" t="s">
        <v>1968</v>
      </c>
      <c r="AI8" s="1217" t="s">
        <v>1969</v>
      </c>
      <c r="AJ8" s="1217" t="s">
        <v>1970</v>
      </c>
    </row>
    <row r="9" spans="1:36" ht="15">
      <c r="A9" s="3290"/>
      <c r="B9" s="170" t="s">
        <v>1971</v>
      </c>
      <c r="C9" s="756">
        <f>SUMIF(修正!C71:C138,C8,修正!E71:E138)</f>
        <v>0</v>
      </c>
      <c r="D9" s="171" t="s">
        <v>113</v>
      </c>
      <c r="E9" s="171" t="e">
        <f>ROUND(C11/E7,4)</f>
        <v>#DIV/0!</v>
      </c>
      <c r="F9" s="2021" t="s">
        <v>1972</v>
      </c>
      <c r="G9" s="2022"/>
      <c r="H9" s="2022"/>
      <c r="I9" s="2022"/>
      <c r="J9" s="2023"/>
      <c r="K9" s="1117"/>
      <c r="L9" s="1997" t="s">
        <v>1973</v>
      </c>
      <c r="M9" s="862">
        <f>SUMPRODUCT((区片价!B277:B326=I2)*(区片价!C3:G3=E2)*(区片价!C277:G326))</f>
        <v>0</v>
      </c>
      <c r="N9" s="864">
        <f>SUMPRODUCT((因素修正幅度!B277:B326=I2)*(因素修正幅度!C3:G3=E2)*(因素修正幅度!C277:G326))</f>
        <v>0</v>
      </c>
      <c r="O9" s="1117"/>
      <c r="P9" s="1117"/>
      <c r="Q9" s="1117"/>
      <c r="R9" s="1209">
        <v>8</v>
      </c>
      <c r="S9" s="1210"/>
      <c r="T9" s="3352" t="e">
        <f t="shared" si="0"/>
        <v>#DIV/0!</v>
      </c>
      <c r="U9" s="1210"/>
      <c r="V9" s="3352" t="e">
        <f t="shared" si="1"/>
        <v>#DIV/0!</v>
      </c>
      <c r="W9" s="3768"/>
      <c r="X9" s="3353" t="s">
        <v>3261</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1974</v>
      </c>
      <c r="C10" s="171">
        <f>SUMIF(修正!C71:C138,C8,修正!F71:F138)</f>
        <v>0</v>
      </c>
      <c r="D10" s="171" t="s">
        <v>114</v>
      </c>
      <c r="E10" s="171" t="e">
        <f>ROUND(C11/E7,4)</f>
        <v>#DIV/0!</v>
      </c>
      <c r="F10" s="2021" t="s">
        <v>1975</v>
      </c>
      <c r="G10" s="2022"/>
      <c r="H10" s="2022"/>
      <c r="I10" s="2022"/>
      <c r="J10" s="2023"/>
      <c r="K10" s="1117"/>
      <c r="L10" s="1997" t="s">
        <v>1976</v>
      </c>
      <c r="M10" s="862">
        <f>SUMPRODUCT((区片价!B327:B357=I2)*(区片价!C3:G3=E2)*(区片价!C327:G357))</f>
        <v>0</v>
      </c>
      <c r="N10" s="864">
        <f>SUMPRODUCT((因素修正幅度!B327:B357=I2)*(因素修正幅度!C3:G3=E2)*(因素修正幅度!C327:G357))</f>
        <v>0</v>
      </c>
      <c r="O10" s="1117"/>
      <c r="P10" s="1117"/>
      <c r="Q10" s="1117"/>
      <c r="R10" s="1209">
        <v>9</v>
      </c>
      <c r="S10" s="1210"/>
      <c r="T10" s="3352" t="e">
        <f t="shared" si="0"/>
        <v>#DIV/0!</v>
      </c>
      <c r="U10" s="1210"/>
      <c r="V10" s="3352" t="e">
        <f t="shared" si="1"/>
        <v>#DIV/0!</v>
      </c>
      <c r="W10" s="3768"/>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4" t="s">
        <v>1977</v>
      </c>
      <c r="C11" s="757">
        <f>C10/4</f>
        <v>0</v>
      </c>
      <c r="D11" s="757" t="s">
        <v>115</v>
      </c>
      <c r="E11" s="757" t="e">
        <f>ROUND(C11/E7,4)</f>
        <v>#DIV/0!</v>
      </c>
      <c r="F11" s="2025" t="s">
        <v>1978</v>
      </c>
      <c r="G11" s="2026"/>
      <c r="H11" s="2026"/>
      <c r="I11" s="2026"/>
      <c r="J11" s="2027"/>
      <c r="K11" s="1117"/>
      <c r="L11" s="1997" t="s">
        <v>1979</v>
      </c>
      <c r="M11" s="862">
        <f>SUMPRODUCT((区片价!B358:B377=I2)*(区片价!C3:G3=E2)*(区片价!C358:G377))</f>
        <v>0</v>
      </c>
      <c r="N11" s="864">
        <f>SUMPRODUCT((因素修正幅度!B358:B377=I2)*(因素修正幅度!C3:G3=E2)*(因素修正幅度!C358:G377))</f>
        <v>0</v>
      </c>
      <c r="O11" s="1117"/>
      <c r="P11" s="1117"/>
      <c r="Q11" s="1117"/>
      <c r="R11" s="1209">
        <v>10</v>
      </c>
      <c r="S11" s="1210"/>
      <c r="T11" s="3352" t="e">
        <f t="shared" si="0"/>
        <v>#DIV/0!</v>
      </c>
      <c r="U11" s="1210"/>
      <c r="V11" s="3352" t="e">
        <f t="shared" si="1"/>
        <v>#DIV/0!</v>
      </c>
      <c r="W11" s="1213"/>
      <c r="X11" s="1213"/>
      <c r="Y11" s="1213"/>
      <c r="Z11" s="1213"/>
      <c r="AA11" s="1213"/>
      <c r="AB11" s="1213"/>
      <c r="AC11" s="1214"/>
      <c r="AD11" s="2780"/>
      <c r="AE11" s="2780"/>
      <c r="AF11" s="2780"/>
      <c r="AG11" s="2780"/>
      <c r="AH11" s="2780"/>
      <c r="AI11" s="2780"/>
      <c r="AJ11" s="2781"/>
    </row>
    <row r="12" spans="1:36" ht="25.5" thickBot="1">
      <c r="A12" s="3295" t="s">
        <v>3231</v>
      </c>
      <c r="B12" s="3296" t="s">
        <v>3232</v>
      </c>
      <c r="C12" s="3297"/>
      <c r="D12" s="3298" t="s">
        <v>3233</v>
      </c>
      <c r="E12" s="3299" t="s">
        <v>3234</v>
      </c>
      <c r="F12" s="3300"/>
      <c r="G12" s="3301"/>
      <c r="H12" s="3301"/>
      <c r="I12" s="3301"/>
      <c r="J12" s="3302"/>
      <c r="K12" s="1117"/>
      <c r="L12" s="2033" t="s">
        <v>1982</v>
      </c>
      <c r="M12" s="863">
        <f>SUMPRODUCT((区片价!B378:B384=I2)*(区片价!C3:G3=E2)*(区片价!C378:G384))</f>
        <v>0</v>
      </c>
      <c r="N12" s="864">
        <f>SUMPRODUCT((因素修正幅度!B378:B384=I2)*(因素修正幅度!C3:G3=E2)*(因素修正幅度!C378:G384))</f>
        <v>0</v>
      </c>
      <c r="O12" s="1117"/>
      <c r="P12" s="1117"/>
      <c r="Q12" s="1117"/>
      <c r="R12" s="1209">
        <v>11</v>
      </c>
      <c r="S12" s="1210"/>
      <c r="T12" s="3352" t="e">
        <f t="shared" si="0"/>
        <v>#DIV/0!</v>
      </c>
      <c r="U12" s="1210"/>
      <c r="V12" s="3352" t="e">
        <f t="shared" si="1"/>
        <v>#DIV/0!</v>
      </c>
      <c r="W12" s="1213"/>
      <c r="X12" s="1213"/>
      <c r="Y12" s="1213"/>
      <c r="Z12" s="1213"/>
      <c r="AA12" s="1213"/>
      <c r="AB12" s="1213"/>
      <c r="AC12" s="1214"/>
      <c r="AD12" s="2780"/>
      <c r="AE12" s="2780"/>
      <c r="AF12" s="2780"/>
      <c r="AG12" s="2780"/>
      <c r="AH12" s="2780"/>
      <c r="AI12" s="2780"/>
      <c r="AJ12" s="2781"/>
    </row>
    <row r="13" spans="1:36" ht="15.75" thickBot="1">
      <c r="A13" s="3295" t="s">
        <v>3235</v>
      </c>
      <c r="B13" s="2028" t="s">
        <v>1980</v>
      </c>
      <c r="C13" s="753">
        <f>ROUND(C16*D16*E16*F16*G16*H16*I16*J16,4)</f>
        <v>0</v>
      </c>
      <c r="D13" s="2029" t="s">
        <v>1981</v>
      </c>
      <c r="E13" s="2030"/>
      <c r="F13" s="2030"/>
      <c r="G13" s="2031"/>
      <c r="H13" s="2031"/>
      <c r="I13" s="2031"/>
      <c r="J13" s="2032"/>
      <c r="K13" s="1117"/>
      <c r="L13" s="3291"/>
      <c r="M13" s="3292"/>
      <c r="N13" s="3293"/>
      <c r="O13" s="1117"/>
      <c r="P13" s="1117"/>
      <c r="Q13" s="1117"/>
      <c r="R13" s="1209">
        <v>12</v>
      </c>
      <c r="S13" s="1210"/>
      <c r="T13" s="3352" t="e">
        <f t="shared" si="0"/>
        <v>#DIV/0!</v>
      </c>
      <c r="U13" s="1210"/>
      <c r="V13" s="3352" t="e">
        <f t="shared" si="1"/>
        <v>#DIV/0!</v>
      </c>
      <c r="W13" s="1213"/>
      <c r="X13" s="1213"/>
      <c r="Y13" s="1213"/>
      <c r="Z13" s="1213"/>
      <c r="AA13" s="1213"/>
      <c r="AB13" s="1213"/>
      <c r="AC13" s="1214"/>
      <c r="AD13" s="2780"/>
      <c r="AE13" s="2780"/>
      <c r="AF13" s="2780"/>
      <c r="AG13" s="2780"/>
      <c r="AH13" s="2780"/>
      <c r="AI13" s="2780"/>
      <c r="AJ13" s="2781"/>
    </row>
    <row r="14" spans="1:36" ht="15">
      <c r="A14" s="3289"/>
      <c r="B14" s="2034" t="s">
        <v>1983</v>
      </c>
      <c r="C14" s="2035" t="s">
        <v>1984</v>
      </c>
      <c r="D14" s="1347" t="s">
        <v>1985</v>
      </c>
      <c r="E14" s="27" t="s">
        <v>1986</v>
      </c>
      <c r="F14" s="3303" t="s">
        <v>3236</v>
      </c>
      <c r="G14" s="3303" t="s">
        <v>3236</v>
      </c>
      <c r="H14" s="3303" t="s">
        <v>3236</v>
      </c>
      <c r="I14" s="3303" t="s">
        <v>3236</v>
      </c>
      <c r="J14" s="3303" t="s">
        <v>3236</v>
      </c>
      <c r="K14" s="1117"/>
      <c r="L14" s="1117"/>
      <c r="M14" s="1117"/>
      <c r="N14" s="1117"/>
      <c r="O14" s="1117"/>
      <c r="P14" s="1117"/>
      <c r="Q14" s="1117"/>
      <c r="R14" s="1209">
        <v>13</v>
      </c>
      <c r="S14" s="1210"/>
      <c r="T14" s="3352" t="e">
        <f t="shared" si="0"/>
        <v>#DIV/0!</v>
      </c>
      <c r="U14" s="1210"/>
      <c r="V14" s="3352" t="e">
        <f t="shared" si="1"/>
        <v>#DIV/0!</v>
      </c>
      <c r="W14" s="1213"/>
      <c r="X14" s="1213"/>
      <c r="Y14" s="1213"/>
      <c r="Z14" s="1213"/>
      <c r="AA14" s="1213"/>
      <c r="AB14" s="1213"/>
      <c r="AC14" s="1214"/>
      <c r="AD14" s="2780"/>
      <c r="AE14" s="2780"/>
      <c r="AF14" s="2780"/>
      <c r="AG14" s="2780"/>
      <c r="AH14" s="2780"/>
      <c r="AI14" s="2780"/>
      <c r="AJ14" s="2781"/>
    </row>
    <row r="15" spans="1:36" ht="15">
      <c r="A15" s="3289"/>
      <c r="B15" s="2036"/>
      <c r="C15" s="2037"/>
      <c r="D15" s="2038"/>
      <c r="E15" s="2039"/>
      <c r="F15" s="3304" t="s">
        <v>3237</v>
      </c>
      <c r="G15" s="3305"/>
      <c r="H15" s="3306"/>
      <c r="I15" s="3307"/>
      <c r="J15" s="3308"/>
      <c r="K15" s="1117"/>
      <c r="L15" s="1117"/>
      <c r="M15" s="1117"/>
      <c r="N15" s="1117"/>
      <c r="O15" s="1117"/>
      <c r="P15" s="1117"/>
      <c r="Q15" s="1117"/>
      <c r="R15" s="1209">
        <v>14</v>
      </c>
      <c r="S15" s="1210"/>
      <c r="T15" s="3352" t="e">
        <f t="shared" si="0"/>
        <v>#DIV/0!</v>
      </c>
      <c r="U15" s="1210"/>
      <c r="V15" s="3352" t="e">
        <f t="shared" si="1"/>
        <v>#DIV/0!</v>
      </c>
      <c r="W15" s="1213"/>
      <c r="X15" s="1213"/>
      <c r="Y15" s="1213"/>
      <c r="Z15" s="1213"/>
      <c r="AA15" s="1213"/>
      <c r="AB15" s="1213"/>
      <c r="AC15" s="1214"/>
      <c r="AD15" s="2780"/>
      <c r="AE15" s="2780"/>
      <c r="AF15" s="2780"/>
      <c r="AG15" s="2780"/>
      <c r="AH15" s="2780"/>
      <c r="AI15" s="2780"/>
      <c r="AJ15" s="2781"/>
    </row>
    <row r="16" spans="1:36" ht="15.75" thickBot="1">
      <c r="A16" s="3289"/>
      <c r="B16" s="3311" t="s">
        <v>1987</v>
      </c>
      <c r="C16" s="3309"/>
      <c r="D16" s="3309"/>
      <c r="E16" s="3309"/>
      <c r="F16" s="3309">
        <v>1</v>
      </c>
      <c r="G16" s="3309">
        <v>1</v>
      </c>
      <c r="H16" s="3309">
        <v>1</v>
      </c>
      <c r="I16" s="3309">
        <v>1</v>
      </c>
      <c r="J16" s="3310">
        <v>1</v>
      </c>
      <c r="K16" s="1117"/>
      <c r="L16" s="1991"/>
      <c r="M16" s="1991"/>
      <c r="N16" s="1991"/>
      <c r="O16" s="1991"/>
      <c r="P16" s="1991"/>
      <c r="Q16" s="1117"/>
      <c r="R16" s="1209">
        <v>15</v>
      </c>
      <c r="S16" s="1210"/>
      <c r="T16" s="3352" t="e">
        <f t="shared" si="0"/>
        <v>#DIV/0!</v>
      </c>
      <c r="U16" s="1210"/>
      <c r="V16" s="3352" t="e">
        <f t="shared" si="1"/>
        <v>#DIV/0!</v>
      </c>
      <c r="W16" s="1213"/>
      <c r="X16" s="1213"/>
      <c r="Y16" s="1213"/>
      <c r="Z16" s="1213"/>
      <c r="AA16" s="1213"/>
      <c r="AB16" s="1213"/>
      <c r="AC16" s="1214"/>
      <c r="AD16" s="2780"/>
      <c r="AE16" s="2780"/>
      <c r="AF16" s="2780"/>
      <c r="AG16" s="2780"/>
      <c r="AH16" s="2780"/>
      <c r="AI16" s="2780"/>
      <c r="AJ16" s="2781"/>
    </row>
    <row r="17" spans="1:37">
      <c r="A17" s="3321" t="s">
        <v>3238</v>
      </c>
      <c r="B17" s="3312" t="s">
        <v>3239</v>
      </c>
      <c r="C17" s="3322">
        <f>ROUND(IF(OR(E2="工业",E2="公共服务"),1,IF(AND(E18=0,E19=0),1,IF(AND(E18=J24,E19=G19),0.8,IF(E19=0,1+E17*(-0.2),1+E17*G17*(-0.2))))),4)</f>
        <v>1</v>
      </c>
      <c r="D17" s="3313" t="s">
        <v>3240</v>
      </c>
      <c r="E17" s="3322" t="e">
        <f>ROUND(G18/I18,2)</f>
        <v>#DIV/0!</v>
      </c>
      <c r="F17" s="3313" t="s">
        <v>3243</v>
      </c>
      <c r="G17" s="3322" t="e">
        <f>ROUND(E19/G19,2)</f>
        <v>#DIV/0!</v>
      </c>
      <c r="H17" s="3322"/>
      <c r="I17" s="3322"/>
      <c r="J17" s="3323"/>
      <c r="K17" s="1117"/>
      <c r="L17" s="1991"/>
      <c r="M17" s="1991"/>
      <c r="N17" s="1991"/>
      <c r="O17" s="1991"/>
      <c r="P17" s="1991"/>
      <c r="Q17" s="1117"/>
      <c r="R17" s="1117"/>
      <c r="S17" s="1117"/>
      <c r="T17" s="1117"/>
      <c r="U17" s="1117"/>
      <c r="V17" s="1117"/>
      <c r="W17" s="1117"/>
      <c r="X17" s="1117"/>
      <c r="Y17" s="1117"/>
      <c r="Z17" s="1118"/>
      <c r="AA17" s="1118"/>
      <c r="AB17" s="1118"/>
      <c r="AC17" s="1118"/>
      <c r="AD17" s="1118"/>
      <c r="AE17" s="1117"/>
      <c r="AF17" s="1117"/>
      <c r="AG17" s="1991"/>
      <c r="AH17" s="1991"/>
      <c r="AI17" s="1991"/>
      <c r="AJ17" s="1991"/>
    </row>
    <row r="18" spans="1:37" s="2008" customFormat="1" ht="14.25">
      <c r="A18" s="3324"/>
      <c r="B18" s="3001"/>
      <c r="C18" s="3319"/>
      <c r="D18" s="3314" t="s">
        <v>3241</v>
      </c>
      <c r="E18" s="3320"/>
      <c r="F18" s="3315" t="s">
        <v>3244</v>
      </c>
      <c r="G18" s="3319">
        <f>ROUND(1-(1/(POWER(1+G24,E18))),4)</f>
        <v>0</v>
      </c>
      <c r="H18" s="3315" t="s">
        <v>3246</v>
      </c>
      <c r="I18" s="3319">
        <f>ROUND(1-(1/(POWER(1+G24,J24))),4)</f>
        <v>0</v>
      </c>
      <c r="J18" s="3325"/>
      <c r="K18" s="1117"/>
      <c r="L18" s="1991"/>
      <c r="M18" s="1991"/>
      <c r="N18" s="1991"/>
      <c r="O18" s="1991"/>
      <c r="P18" s="1991"/>
      <c r="Q18" s="1117"/>
      <c r="R18" s="1122"/>
      <c r="S18" s="1122"/>
      <c r="T18" s="1118"/>
      <c r="U18" s="1118"/>
      <c r="V18" s="1118"/>
      <c r="W18" s="1117"/>
      <c r="X18" s="1117"/>
      <c r="Y18" s="1117"/>
      <c r="Z18" s="1123"/>
      <c r="AA18" s="1123"/>
      <c r="AB18" s="1123"/>
      <c r="AC18" s="1123"/>
      <c r="AD18" s="1123"/>
      <c r="AE18" s="1118"/>
      <c r="AF18" s="1118"/>
      <c r="AG18" s="2135"/>
      <c r="AH18" s="2135"/>
      <c r="AI18" s="2135"/>
      <c r="AJ18" s="2779"/>
    </row>
    <row r="19" spans="1:37" s="2008" customFormat="1" ht="15" thickBot="1">
      <c r="A19" s="3326"/>
      <c r="B19" s="3327"/>
      <c r="C19" s="3328"/>
      <c r="D19" s="3328" t="s">
        <v>3242</v>
      </c>
      <c r="E19" s="3329"/>
      <c r="F19" s="3330" t="s">
        <v>3245</v>
      </c>
      <c r="G19" s="3329"/>
      <c r="H19" s="3328"/>
      <c r="I19" s="3328"/>
      <c r="J19" s="3331"/>
      <c r="K19" s="1117"/>
      <c r="L19" s="1991"/>
      <c r="M19" s="1991"/>
      <c r="N19" s="1991"/>
      <c r="O19" s="1991"/>
      <c r="P19" s="1991"/>
      <c r="Q19" s="1122"/>
      <c r="R19" s="1122"/>
      <c r="S19" s="1122"/>
      <c r="T19" s="1118"/>
      <c r="U19" s="1118"/>
      <c r="V19" s="1118"/>
      <c r="W19" s="1117"/>
      <c r="X19" s="1117"/>
      <c r="Y19" s="1117"/>
      <c r="Z19" s="1123"/>
      <c r="AA19" s="1123"/>
      <c r="AB19" s="1123"/>
      <c r="AC19" s="1123"/>
      <c r="AD19" s="1123"/>
      <c r="AE19" s="1123"/>
      <c r="AF19" s="1122"/>
      <c r="AG19" s="2782"/>
      <c r="AH19" s="2135"/>
      <c r="AI19" s="2783"/>
      <c r="AJ19" s="2783"/>
      <c r="AK19" s="2051"/>
    </row>
    <row r="20" spans="1:37" s="2008" customFormat="1" ht="14.25">
      <c r="A20" s="3773" t="s">
        <v>3247</v>
      </c>
      <c r="B20" s="167" t="s">
        <v>1992</v>
      </c>
      <c r="C20" s="3316" t="e">
        <f>ROUND(IF(F21="与级别开发程度一致",0,(G21-E21)/C21),0)</f>
        <v>#DIV/0!</v>
      </c>
      <c r="D20" s="3332" t="s">
        <v>1996</v>
      </c>
      <c r="E20" s="3333"/>
      <c r="F20" s="3779" t="s">
        <v>1993</v>
      </c>
      <c r="G20" s="3780"/>
      <c r="H20" s="3317"/>
      <c r="I20" s="3317"/>
      <c r="J20" s="3318"/>
      <c r="K20" s="2041"/>
      <c r="L20" s="2041"/>
      <c r="M20" s="2041"/>
      <c r="N20" s="2041"/>
      <c r="O20" s="2042"/>
      <c r="P20" s="1991"/>
      <c r="Q20" s="1122"/>
      <c r="R20" s="1122"/>
      <c r="S20" s="1122"/>
      <c r="T20" s="1118"/>
      <c r="U20" s="1118"/>
      <c r="V20" s="1118"/>
      <c r="W20" s="1117"/>
      <c r="X20" s="1117"/>
      <c r="Y20" s="1117"/>
      <c r="Z20" s="1123"/>
      <c r="AA20" s="1123"/>
      <c r="AB20" s="1123"/>
      <c r="AC20" s="1123"/>
      <c r="AD20" s="1123"/>
      <c r="AE20" s="1123"/>
      <c r="AF20" s="1123"/>
      <c r="AG20" s="2779"/>
      <c r="AH20" s="2779"/>
      <c r="AI20" s="2779"/>
      <c r="AJ20" s="2779"/>
    </row>
    <row r="21" spans="1:37" s="2008" customFormat="1" ht="15" thickBot="1">
      <c r="A21" s="3774"/>
      <c r="B21" s="2158" t="s">
        <v>1995</v>
      </c>
      <c r="C21" s="2159">
        <f>IF(E3="M4科研用地",SUMPRODUCT((修正!A2:A7=E3)*(修正!B1:M1=G2)*(修正!B2:M7)),SUMPRODUCT((修正!A2:A7=E2)*(修正!B1:M1=G2)*(修正!B2:M7)))</f>
        <v>0</v>
      </c>
      <c r="D21" s="187" t="str">
        <f>IF(OR(G2="八级",G2="九级",G2="十级",G2="十一级",G2="十二级"),"五通一平","七通一平")</f>
        <v>七通一平</v>
      </c>
      <c r="E21" s="2149">
        <f>SUMPRODUCT((修正!B1:M1=G2)*(修正!B17:M17))</f>
        <v>315</v>
      </c>
      <c r="F21" s="2150"/>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79"/>
      <c r="R21" s="1122"/>
      <c r="S21" s="1122"/>
      <c r="T21" s="1118"/>
      <c r="U21" s="1118"/>
      <c r="V21" s="1118"/>
      <c r="W21" s="1117"/>
      <c r="X21" s="1117"/>
      <c r="Y21" s="1117"/>
      <c r="Z21" s="1123"/>
      <c r="AA21" s="1123"/>
      <c r="AB21" s="1123"/>
      <c r="AC21" s="1123"/>
      <c r="AD21" s="1123"/>
      <c r="AE21" s="1123"/>
      <c r="AF21" s="1123"/>
      <c r="AG21" s="2779"/>
      <c r="AH21" s="2779"/>
      <c r="AI21" s="2779"/>
      <c r="AJ21" s="2779"/>
    </row>
    <row r="22" spans="1:37" s="2008" customFormat="1" ht="15.75" thickBot="1">
      <c r="A22" s="2152" t="s">
        <v>363</v>
      </c>
      <c r="B22" s="2153" t="s">
        <v>1998</v>
      </c>
      <c r="C22" s="2154">
        <f>SUMIF(修正!C20:C51,E3,修正!E20:E51)</f>
        <v>0</v>
      </c>
      <c r="D22" s="2155"/>
      <c r="E22" s="2156"/>
      <c r="F22" s="2156"/>
      <c r="G22" s="2156"/>
      <c r="H22" s="2156"/>
      <c r="I22" s="2156"/>
      <c r="J22" s="2157"/>
      <c r="K22" s="1123"/>
      <c r="L22" s="2779"/>
      <c r="M22" s="2779"/>
      <c r="N22" s="2779"/>
      <c r="O22" s="1121"/>
      <c r="P22" s="1121"/>
      <c r="Q22" s="2779"/>
      <c r="R22" s="1122"/>
      <c r="S22" s="1122"/>
      <c r="T22" s="1118"/>
      <c r="U22" s="1118"/>
      <c r="V22" s="1118"/>
      <c r="W22" s="1117"/>
      <c r="X22" s="1117"/>
      <c r="Y22" s="1117"/>
      <c r="Z22" s="1123"/>
      <c r="AA22" s="1123"/>
      <c r="AB22" s="1123"/>
      <c r="AC22" s="1123"/>
      <c r="AD22" s="1123"/>
      <c r="AE22" s="1123"/>
      <c r="AF22" s="1123"/>
      <c r="AG22" s="2779"/>
      <c r="AH22" s="2779"/>
      <c r="AI22" s="2779"/>
      <c r="AJ22" s="2779"/>
    </row>
    <row r="23" spans="1:37" ht="26.25" thickBot="1">
      <c r="A23" s="2044" t="s">
        <v>364</v>
      </c>
      <c r="B23" s="2045" t="s">
        <v>1999</v>
      </c>
      <c r="C23" s="758">
        <f>ROUND(IF(J23="中心城区",SUMPRODUCT(('地价-分区'!A7:A21=YEAR(G23)&amp;"-"&amp;ROUNDUP(MONTH(G23)/3,0))*('地价-分区'!S2:W2=E2)*('地价-分区'!S7:W21)),IF(J23="中心城区以外",SUMPRODUCT(('地价-分区'!A32:A46=YEAR(G23)&amp;"-"&amp;ROUNDUP(MONTH(G23)/3,0))*('地价-分区'!S27:W27=E2)*('地价-分区'!S32:W46)),IF(J23="不用分区数据",IF(H23="按公示增长率计算",SUMPRODUCT((地价!A3:A16=YEAR(G23)&amp;"-"&amp;ROUNDUP(MONTH(G23)/3,0))*(地价!Y2:AD2=E2)*(地价!Y3:AD16)),IF(H23="地价指数",M24/M23,(1+I23)^O23))))),4)</f>
        <v>0</v>
      </c>
      <c r="D23" s="2048" t="s">
        <v>2000</v>
      </c>
      <c r="E23" s="759">
        <v>44197</v>
      </c>
      <c r="F23" s="2048" t="s">
        <v>2001</v>
      </c>
      <c r="G23" s="760">
        <f>'数据-取费表'!B2</f>
        <v>45576</v>
      </c>
      <c r="H23" s="3334" t="s">
        <v>3249</v>
      </c>
      <c r="I23" s="3335" t="str">
        <f>IF(H23="季度增幅（自定义）",SUMIF(N25:N28,E2,O25:O28),"")</f>
        <v/>
      </c>
      <c r="J23" s="3437" t="s">
        <v>3248</v>
      </c>
      <c r="K23" s="1123"/>
      <c r="L23" s="2049" t="s">
        <v>2002</v>
      </c>
      <c r="M23" s="1325">
        <f>ROUND(SUMIF(地价!B2:G2,E2,地价!B16:G16),0)</f>
        <v>0</v>
      </c>
      <c r="N23" s="2050" t="s">
        <v>2003</v>
      </c>
      <c r="O23" s="761">
        <f>ROUNDDOWN(DATEDIF(E23,G23,"M")/3,0)</f>
        <v>15</v>
      </c>
      <c r="P23" s="1120"/>
      <c r="Q23" s="2779"/>
      <c r="R23" s="1122"/>
      <c r="S23" s="1122"/>
      <c r="T23" s="1118"/>
      <c r="U23" s="1118"/>
      <c r="V23" s="1118"/>
      <c r="W23" s="1117"/>
      <c r="X23" s="1117"/>
      <c r="Y23" s="1117"/>
      <c r="Z23" s="1123"/>
      <c r="AA23" s="1123"/>
      <c r="AB23" s="1123"/>
      <c r="AC23" s="1123"/>
      <c r="AD23" s="1123"/>
      <c r="AE23" s="1118"/>
      <c r="AF23" s="1118"/>
      <c r="AG23" s="2135"/>
      <c r="AH23" s="2135"/>
      <c r="AI23" s="2135"/>
      <c r="AJ23" s="2135"/>
      <c r="AK23" s="2047"/>
    </row>
    <row r="24" spans="1:37" s="2008" customFormat="1" ht="24.75" thickBot="1">
      <c r="A24" s="2052" t="s">
        <v>365</v>
      </c>
      <c r="B24" s="2053" t="s">
        <v>2004</v>
      </c>
      <c r="C24" s="762" t="e">
        <f>ROUND(POWER(1+G24,J24-I24)*(POWER(1+G24,I24)-1)/(POWER(1+G24,J24)-1),4)</f>
        <v>#DIV/0!</v>
      </c>
      <c r="D24" s="2054" t="s">
        <v>2005</v>
      </c>
      <c r="E24" s="1332">
        <f>存贷款利率!E26/100</f>
        <v>4.3499999999999997E-2</v>
      </c>
      <c r="F24" s="2054" t="s">
        <v>1997</v>
      </c>
      <c r="G24" s="766">
        <f>SUMIF(M30:Q30,E2,M33:Q33)</f>
        <v>0</v>
      </c>
      <c r="H24" s="2054" t="s">
        <v>2006</v>
      </c>
      <c r="I24" s="767" t="e">
        <f>SUMIF('数据-取费表'!C6:C15,E2,'数据-取费表'!F6:F15)/COUNTIF('数据-取费表'!C6:C15,E2)</f>
        <v>#DIV/0!</v>
      </c>
      <c r="J24" s="768">
        <f>IF(E2="住宅",70,IF(E2="商业",40,50))</f>
        <v>50</v>
      </c>
      <c r="K24" s="1123"/>
      <c r="L24" s="2055" t="s">
        <v>2007</v>
      </c>
      <c r="M24" s="1326">
        <f>ROUND(SUMPRODUCT((地价!A4:A16=YEAR(G23)&amp;"-"&amp;ROUNDUP(MONTH(G23)/3,0))*(地价!B2:G2=E2)*(地价!B4:G16)),0)</f>
        <v>0</v>
      </c>
      <c r="N24" s="2056" t="s">
        <v>2008</v>
      </c>
      <c r="O24" s="2057" t="s">
        <v>2009</v>
      </c>
      <c r="P24" s="2058" t="s">
        <v>2010</v>
      </c>
      <c r="Q24" s="1991"/>
      <c r="R24" s="1122"/>
      <c r="S24" s="1122"/>
      <c r="T24" s="1118"/>
      <c r="U24" s="1118"/>
      <c r="V24" s="1118"/>
      <c r="W24" s="1117"/>
      <c r="X24" s="1117"/>
      <c r="Y24" s="1117"/>
      <c r="Z24" s="1123"/>
      <c r="AA24" s="1123"/>
      <c r="AB24" s="1123"/>
      <c r="AC24" s="1123"/>
      <c r="AD24" s="1123"/>
      <c r="AE24" s="1123"/>
      <c r="AF24" s="1123"/>
      <c r="AG24" s="2779"/>
      <c r="AH24" s="2779"/>
      <c r="AI24" s="2779"/>
      <c r="AJ24" s="2779"/>
    </row>
    <row r="25" spans="1:37" ht="15">
      <c r="A25" s="2059" t="s">
        <v>366</v>
      </c>
      <c r="B25" s="2060" t="s">
        <v>3328</v>
      </c>
      <c r="C25" s="769">
        <f>IF(B25="容积率修正",IF(G3&lt;10,D26,J26),C27)</f>
        <v>0</v>
      </c>
      <c r="D25" s="2061"/>
      <c r="E25" s="2061"/>
      <c r="F25" s="2061"/>
      <c r="G25" s="2061"/>
      <c r="H25" s="2061"/>
      <c r="I25" s="2061"/>
      <c r="J25" s="2062"/>
      <c r="K25" s="1123"/>
      <c r="L25" s="2779"/>
      <c r="M25" s="2779"/>
      <c r="N25" s="2063" t="s">
        <v>2011</v>
      </c>
      <c r="O25" s="1171"/>
      <c r="P25" s="1172">
        <f>SUMPRODUCT((地价!A3:A40=YEAR(G23)&amp;"-"&amp;ROUNDUP(MONTH(G23)/3,0))*(地价!AD2:AH2=N25)*(地价!AD3:AH40))</f>
        <v>0</v>
      </c>
      <c r="Q25" s="2779"/>
      <c r="R25" s="1122"/>
      <c r="S25" s="1122"/>
      <c r="T25" s="1118"/>
      <c r="U25" s="1118"/>
      <c r="V25" s="1118"/>
      <c r="W25" s="1117"/>
      <c r="X25" s="1117"/>
      <c r="Y25" s="1117"/>
      <c r="Z25" s="1123"/>
      <c r="AA25" s="1123"/>
      <c r="AB25" s="1123"/>
      <c r="AC25" s="1123"/>
      <c r="AD25" s="1123"/>
      <c r="AE25" s="1118"/>
      <c r="AF25" s="1118"/>
      <c r="AG25" s="2135"/>
      <c r="AH25" s="2135"/>
      <c r="AI25" s="2135"/>
      <c r="AJ25" s="2135"/>
    </row>
    <row r="26" spans="1:37" ht="14.25">
      <c r="A26" s="1949" t="s">
        <v>2012</v>
      </c>
      <c r="B26" s="2064" t="s">
        <v>2013</v>
      </c>
      <c r="C26" s="3336" t="s">
        <v>3250</v>
      </c>
      <c r="D26" s="1349">
        <f>IF(E26=G26,F26,IF(G3&lt;10,ROUND(F26+(H26-F26)*(G3-E26)/(G26-E26),4),"——"))</f>
        <v>0</v>
      </c>
      <c r="E26" s="750">
        <f>ROUNDDOWN(G3,1)</f>
        <v>0</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0">
        <f>ROUNDUP(G3,1)</f>
        <v>0</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6" t="s">
        <v>3251</v>
      </c>
      <c r="J26" s="770" t="str">
        <f>IF(G3&gt;=10,D115,"——")</f>
        <v>——</v>
      </c>
      <c r="K26" s="1123"/>
      <c r="L26" s="2779"/>
      <c r="M26" s="2779"/>
      <c r="N26" s="2063" t="s">
        <v>2014</v>
      </c>
      <c r="O26" s="1171"/>
      <c r="P26" s="1172">
        <f>SUMPRODUCT((地价!A3:A40=YEAR(G23)&amp;"-"&amp;ROUNDUP(MONTH(G23)/3,0))*(地价!AD2:AH2=N26)*(地价!AD3:AH40))</f>
        <v>0</v>
      </c>
      <c r="Q26" s="1991"/>
      <c r="R26" s="1122"/>
      <c r="S26" s="1122"/>
      <c r="T26" s="1118"/>
      <c r="U26" s="1118"/>
      <c r="V26" s="1118"/>
      <c r="W26" s="1117"/>
      <c r="X26" s="1117"/>
      <c r="Y26" s="1117"/>
      <c r="Z26" s="1123"/>
      <c r="AA26" s="1123"/>
      <c r="AB26" s="1123"/>
      <c r="AC26" s="1123"/>
      <c r="AD26" s="1123"/>
      <c r="AE26" s="1118"/>
      <c r="AF26" s="1118"/>
      <c r="AG26" s="2135"/>
      <c r="AH26" s="2135"/>
      <c r="AI26" s="2135"/>
      <c r="AJ26" s="2135"/>
    </row>
    <row r="27" spans="1:37" ht="15.75" thickBot="1">
      <c r="A27" s="1949" t="s">
        <v>2015</v>
      </c>
      <c r="B27" s="2065" t="s">
        <v>2016</v>
      </c>
      <c r="C27" s="839">
        <f>ROUND(IF(I3&lt;6,SUMPRODUCT((B106:B110=I3)*(C105:N105=G2)*(C106:N110)),SUMIF(C105:N105,G2,C112:N112)),4)</f>
        <v>0</v>
      </c>
      <c r="D27" s="2040"/>
      <c r="E27" s="2040"/>
      <c r="F27" s="2066"/>
      <c r="G27" s="2067"/>
      <c r="H27" s="2068"/>
      <c r="I27" s="2069"/>
      <c r="J27" s="2070"/>
      <c r="K27" s="1117"/>
      <c r="L27" s="1991"/>
      <c r="M27" s="1991"/>
      <c r="N27" s="2063" t="s">
        <v>2017</v>
      </c>
      <c r="O27" s="1171"/>
      <c r="P27" s="1172">
        <f>SUMPRODUCT((地价!A3:A40=YEAR(G23)&amp;"-"&amp;ROUNDUP(MONTH(G23)/3,0))*(地价!AD2:AH2=N27)*(地价!AD3:AH40))</f>
        <v>0</v>
      </c>
      <c r="Q27" s="1991"/>
      <c r="R27" s="1122"/>
      <c r="S27" s="1122"/>
      <c r="T27" s="1118"/>
      <c r="U27" s="1118"/>
      <c r="V27" s="1118"/>
      <c r="W27" s="1117"/>
      <c r="X27" s="1117"/>
      <c r="Y27" s="1117"/>
      <c r="Z27" s="1123"/>
      <c r="AA27" s="1123"/>
      <c r="AB27" s="1123"/>
      <c r="AC27" s="1123"/>
      <c r="AD27" s="1123"/>
      <c r="AE27" s="1118"/>
      <c r="AF27" s="1118"/>
      <c r="AG27" s="2135"/>
      <c r="AH27" s="2135"/>
      <c r="AI27" s="2135"/>
      <c r="AJ27" s="2135"/>
    </row>
    <row r="28" spans="1:37" ht="15.75" thickBot="1">
      <c r="A28" s="2052" t="s">
        <v>367</v>
      </c>
      <c r="B28" s="2045" t="s">
        <v>2018</v>
      </c>
      <c r="C28" s="758">
        <f>SUMIF(A47:A101,E2,B47:B101)</f>
        <v>0</v>
      </c>
      <c r="D28" s="2046"/>
      <c r="E28" s="2071"/>
      <c r="F28" s="2071"/>
      <c r="G28" s="2071"/>
      <c r="H28" s="2071"/>
      <c r="I28" s="2071"/>
      <c r="J28" s="2072"/>
      <c r="K28" s="1123"/>
      <c r="L28" s="2779"/>
      <c r="M28" s="2779"/>
      <c r="N28" s="2073" t="s">
        <v>2019</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5"/>
      <c r="AH28" s="2135"/>
      <c r="AI28" s="2135"/>
      <c r="AJ28" s="2135"/>
    </row>
    <row r="29" spans="1:37" ht="15.75" thickBot="1">
      <c r="A29" s="2052" t="s">
        <v>368</v>
      </c>
      <c r="B29" s="2074" t="s">
        <v>2020</v>
      </c>
      <c r="C29" s="763"/>
      <c r="D29" s="2018"/>
      <c r="E29" s="2018"/>
      <c r="F29" s="2075"/>
      <c r="G29" s="2018"/>
      <c r="H29" s="2018"/>
      <c r="I29" s="2018"/>
      <c r="J29" s="2019"/>
      <c r="K29" s="1117"/>
      <c r="L29" s="1991"/>
      <c r="M29" s="1991"/>
      <c r="N29" s="2776" t="s">
        <v>2021</v>
      </c>
      <c r="O29" s="2777"/>
      <c r="P29" s="2778">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1"/>
      <c r="AH29" s="1991"/>
      <c r="AI29" s="1991"/>
      <c r="AJ29" s="1991"/>
    </row>
    <row r="30" spans="1:37" ht="15">
      <c r="A30" s="2076"/>
      <c r="B30" s="2064" t="s">
        <v>2022</v>
      </c>
      <c r="C30" s="2315" t="e">
        <f>IF(B25="容积率修正",E33+SUM(E37:E42),SUM(V2:V16)+SUM(E37:E42))</f>
        <v>#DIV/0!</v>
      </c>
      <c r="D30" s="2077"/>
      <c r="E30" s="2040"/>
      <c r="F30" s="2078"/>
      <c r="G30" s="2040"/>
      <c r="H30" s="2040"/>
      <c r="I30" s="2040"/>
      <c r="J30" s="2079"/>
      <c r="K30" s="1117"/>
      <c r="L30" s="3342" t="s">
        <v>1934</v>
      </c>
      <c r="M30" s="3343" t="s">
        <v>1988</v>
      </c>
      <c r="N30" s="3343" t="s">
        <v>1989</v>
      </c>
      <c r="O30" s="3343" t="s">
        <v>1990</v>
      </c>
      <c r="P30" s="3343" t="s">
        <v>1991</v>
      </c>
      <c r="Q30" s="3346" t="s">
        <v>3255</v>
      </c>
      <c r="R30" s="1122"/>
      <c r="S30" s="1122"/>
      <c r="T30" s="1118"/>
      <c r="U30" s="1118"/>
      <c r="V30" s="1118"/>
      <c r="W30" s="1117"/>
      <c r="X30" s="1117"/>
      <c r="Y30" s="1117"/>
      <c r="Z30" s="1123"/>
      <c r="AA30" s="1123"/>
      <c r="AB30" s="1123"/>
      <c r="AC30" s="1123"/>
      <c r="AD30" s="1123"/>
      <c r="AE30" s="1117"/>
      <c r="AF30" s="1117"/>
      <c r="AG30" s="1991"/>
      <c r="AH30" s="1991"/>
      <c r="AI30" s="1991"/>
      <c r="AJ30" s="1991"/>
    </row>
    <row r="31" spans="1:37" ht="15.75" thickBot="1">
      <c r="A31" s="2076"/>
      <c r="B31" s="2080" t="s">
        <v>2023</v>
      </c>
      <c r="C31" s="764" t="e">
        <f>E34+SUM(I37:I42)</f>
        <v>#DIV/0!</v>
      </c>
      <c r="D31" s="2081"/>
      <c r="E31" s="2082"/>
      <c r="F31" s="2083"/>
      <c r="G31" s="2082"/>
      <c r="H31" s="2082"/>
      <c r="I31" s="2082"/>
      <c r="J31" s="2084"/>
      <c r="K31" s="1117"/>
      <c r="L31" s="3344" t="s">
        <v>1994</v>
      </c>
      <c r="M31" s="1994">
        <v>0.25</v>
      </c>
      <c r="N31" s="1994">
        <v>0.2</v>
      </c>
      <c r="O31" s="1994">
        <v>0.15</v>
      </c>
      <c r="P31" s="1994">
        <v>0.1</v>
      </c>
      <c r="Q31" s="3339">
        <v>0.15</v>
      </c>
      <c r="R31" s="1122"/>
      <c r="S31" s="1122"/>
      <c r="T31" s="1118"/>
      <c r="U31" s="1118"/>
      <c r="V31" s="1118"/>
      <c r="W31" s="1117"/>
      <c r="X31" s="1117"/>
      <c r="Y31" s="1117"/>
      <c r="Z31" s="1123"/>
      <c r="AA31" s="1123"/>
      <c r="AB31" s="1123"/>
      <c r="AC31" s="1123"/>
      <c r="AD31" s="1123"/>
      <c r="AE31" s="1117"/>
      <c r="AF31" s="1117"/>
      <c r="AG31" s="1991"/>
      <c r="AH31" s="1991"/>
      <c r="AI31" s="1991"/>
      <c r="AJ31" s="1991"/>
    </row>
    <row r="32" spans="1:37" ht="15.75" thickBot="1">
      <c r="A32" s="2085"/>
      <c r="B32" s="2086" t="s">
        <v>2024</v>
      </c>
      <c r="C32" s="2087" t="s">
        <v>2025</v>
      </c>
      <c r="D32" s="2087" t="s">
        <v>2026</v>
      </c>
      <c r="E32" s="2088" t="s">
        <v>2027</v>
      </c>
      <c r="F32" s="2089"/>
      <c r="G32" s="2031"/>
      <c r="H32" s="2031"/>
      <c r="I32" s="2031"/>
      <c r="J32" s="2032"/>
      <c r="K32" s="1117"/>
      <c r="L32" s="3345" t="s">
        <v>1997</v>
      </c>
      <c r="M32" s="2561">
        <f>ROUND($E$24*(1+M31),3)</f>
        <v>5.3999999999999999E-2</v>
      </c>
      <c r="N32" s="2561">
        <f>ROUND($E$24*(1+N31),3)</f>
        <v>5.1999999999999998E-2</v>
      </c>
      <c r="O32" s="2561">
        <f>ROUND($E$24*(1+O31),3)</f>
        <v>0.05</v>
      </c>
      <c r="P32" s="2561">
        <f>ROUND($E$24*(1+P31),3)</f>
        <v>4.8000000000000001E-2</v>
      </c>
      <c r="Q32" s="3347">
        <f>ROUND($E$24*(1+Q31),3)</f>
        <v>0.05</v>
      </c>
      <c r="R32" s="1122"/>
      <c r="S32" s="1122"/>
      <c r="T32" s="1118"/>
      <c r="U32" s="1118"/>
      <c r="V32" s="1118"/>
      <c r="W32" s="1117"/>
      <c r="X32" s="1117"/>
      <c r="Y32" s="1117"/>
      <c r="Z32" s="1123"/>
      <c r="AA32" s="1123"/>
      <c r="AB32" s="1123"/>
      <c r="AC32" s="1123"/>
      <c r="AD32" s="1123"/>
      <c r="AE32" s="1117"/>
      <c r="AF32" s="1117"/>
      <c r="AG32" s="1991"/>
      <c r="AH32" s="1991"/>
      <c r="AI32" s="1991"/>
      <c r="AJ32" s="1991"/>
    </row>
    <row r="33" spans="1:37" ht="14.25">
      <c r="A33" s="2090"/>
      <c r="B33" s="2091" t="s">
        <v>2028</v>
      </c>
      <c r="C33" s="175" t="e">
        <f>ROUND(C5*C22*C23*C24*C25*C28,0)</f>
        <v>#DIV/0!</v>
      </c>
      <c r="D33" s="2092"/>
      <c r="E33" s="771" t="e">
        <f>ROUND(C33*D33/10000,0)</f>
        <v>#DIV/0!</v>
      </c>
      <c r="F33" s="3337" t="s">
        <v>3253</v>
      </c>
      <c r="G33" s="2093"/>
      <c r="H33" s="2093"/>
      <c r="I33" s="2093"/>
      <c r="J33" s="2094"/>
      <c r="K33" s="1117"/>
      <c r="L33" s="3340" t="s">
        <v>3256</v>
      </c>
      <c r="M33" s="3341">
        <v>5.5E-2</v>
      </c>
      <c r="N33" s="3341">
        <v>5.5E-2</v>
      </c>
      <c r="O33" s="3341">
        <v>0.05</v>
      </c>
      <c r="P33" s="3341">
        <v>0.05</v>
      </c>
      <c r="Q33" s="3341">
        <v>0.05</v>
      </c>
      <c r="R33" s="1122"/>
      <c r="S33" s="1122"/>
      <c r="T33" s="1118"/>
      <c r="U33" s="1118"/>
      <c r="V33" s="1118"/>
      <c r="W33" s="1117"/>
      <c r="X33" s="1117"/>
      <c r="Y33" s="1117"/>
      <c r="Z33" s="1123"/>
      <c r="AA33" s="1123"/>
      <c r="AB33" s="1123"/>
      <c r="AC33" s="1123"/>
      <c r="AD33" s="1123"/>
      <c r="AE33" s="1118"/>
      <c r="AF33" s="1118"/>
      <c r="AG33" s="2135"/>
      <c r="AH33" s="2135"/>
      <c r="AI33" s="2135"/>
      <c r="AJ33" s="2135"/>
    </row>
    <row r="34" spans="1:37" ht="25.5" thickBot="1">
      <c r="A34" s="2095"/>
      <c r="B34" s="2096" t="s">
        <v>2029</v>
      </c>
      <c r="C34" s="187" t="e">
        <f>ROUND(IF(E2="工业",C33*M42,IF(B25="楼层修正",SUM(V2:V16)*M41*10000/D34,C33*M41)),0)</f>
        <v>#DIV/0!</v>
      </c>
      <c r="D34" s="2097"/>
      <c r="E34" s="771" t="e">
        <f>ROUND(IF(B25="楼层修正",SUM(V2:V16)*M40,C34*D34/10000),0)</f>
        <v>#DIV/0!</v>
      </c>
      <c r="F34" s="2098" t="s">
        <v>2030</v>
      </c>
      <c r="G34" s="2099"/>
      <c r="H34" s="2099"/>
      <c r="I34" s="2099"/>
      <c r="J34" s="2100"/>
      <c r="K34" s="1117"/>
      <c r="L34" s="3340" t="s">
        <v>3257</v>
      </c>
      <c r="M34" s="3341">
        <v>6.5000000000000002E-2</v>
      </c>
      <c r="N34" s="3341">
        <v>6.5000000000000002E-2</v>
      </c>
      <c r="O34" s="3341">
        <v>0.06</v>
      </c>
      <c r="P34" s="3341">
        <v>0.06</v>
      </c>
      <c r="Q34" s="3341">
        <v>0.06</v>
      </c>
      <c r="R34" s="1122"/>
      <c r="S34" s="1122"/>
      <c r="T34" s="1118"/>
      <c r="U34" s="1118"/>
      <c r="V34" s="1118"/>
      <c r="W34" s="1117"/>
      <c r="X34" s="1117"/>
      <c r="Y34" s="1117"/>
      <c r="Z34" s="1123"/>
      <c r="AA34" s="1123"/>
      <c r="AB34" s="1123"/>
      <c r="AC34" s="1123"/>
      <c r="AD34" s="1123"/>
      <c r="AE34" s="1118"/>
      <c r="AF34" s="1118"/>
      <c r="AG34" s="2135"/>
      <c r="AH34" s="2135"/>
      <c r="AI34" s="2135"/>
      <c r="AJ34" s="2135"/>
    </row>
    <row r="35" spans="1:37">
      <c r="A35" s="2101"/>
      <c r="B35" s="2102" t="s">
        <v>2031</v>
      </c>
      <c r="C35" s="3338" t="s">
        <v>3254</v>
      </c>
      <c r="D35" s="2031"/>
      <c r="E35" s="2103"/>
      <c r="F35" s="2103"/>
      <c r="G35" s="2029" t="s">
        <v>2032</v>
      </c>
      <c r="H35" s="2031"/>
      <c r="I35" s="2104"/>
      <c r="J35" s="2032"/>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5"/>
      <c r="AH35" s="2135"/>
      <c r="AI35" s="2135"/>
      <c r="AJ35" s="2135"/>
    </row>
    <row r="36" spans="1:37" ht="24.75" thickBot="1">
      <c r="A36" s="2090"/>
      <c r="B36" s="2105"/>
      <c r="C36" s="448" t="s">
        <v>2025</v>
      </c>
      <c r="D36" s="445" t="s">
        <v>2026</v>
      </c>
      <c r="E36" s="445" t="s">
        <v>2027</v>
      </c>
      <c r="F36" s="342" t="s">
        <v>2033</v>
      </c>
      <c r="G36" s="2106" t="s">
        <v>2025</v>
      </c>
      <c r="H36" s="2106" t="s">
        <v>2026</v>
      </c>
      <c r="I36" s="2106" t="s">
        <v>2027</v>
      </c>
      <c r="J36" s="243"/>
      <c r="K36" s="3348" t="s">
        <v>3258</v>
      </c>
      <c r="L36" s="3438">
        <f ca="1">'数据-取费表'!B40</f>
        <v>3.3500000000000002E-2</v>
      </c>
      <c r="M36" s="3349">
        <f ca="1">ROUND($L$36*(1+M31),3)</f>
        <v>4.2000000000000003E-2</v>
      </c>
      <c r="N36" s="3349">
        <f ca="1">ROUND($L$36*(1+N31),3)</f>
        <v>0.04</v>
      </c>
      <c r="O36" s="3349">
        <f ca="1">ROUND($L$36*(1+O31),3)</f>
        <v>3.9E-2</v>
      </c>
      <c r="P36" s="3349">
        <f ca="1">ROUND($L$36*(1+P31),3)</f>
        <v>3.6999999999999998E-2</v>
      </c>
      <c r="Q36" s="3349">
        <f ca="1">ROUND($L$36*(1+Q31),3)</f>
        <v>3.9E-2</v>
      </c>
      <c r="R36" s="1117"/>
      <c r="S36" s="1117"/>
      <c r="T36" s="1117"/>
      <c r="U36" s="1117"/>
      <c r="V36" s="1117"/>
      <c r="W36" s="1117"/>
      <c r="X36" s="1117"/>
      <c r="Y36" s="1117"/>
      <c r="Z36" s="1118"/>
      <c r="AA36" s="1118"/>
      <c r="AB36" s="1118"/>
      <c r="AC36" s="1118"/>
      <c r="AD36" s="1118"/>
      <c r="AE36" s="1118"/>
      <c r="AF36" s="1118"/>
      <c r="AG36" s="2135"/>
      <c r="AH36" s="2135"/>
      <c r="AI36" s="2135"/>
      <c r="AJ36" s="2135"/>
    </row>
    <row r="37" spans="1:37" ht="24.75" thickBot="1">
      <c r="A37" s="3777"/>
      <c r="B37" s="2107" t="s">
        <v>2034</v>
      </c>
      <c r="C37" s="175" t="e">
        <f>ROUND(D5*C22*C23*C24*C28*F37,0)</f>
        <v>#DIV/0!</v>
      </c>
      <c r="D37" s="2092"/>
      <c r="E37" s="171" t="e">
        <f>ROUND(C37*D37/10000,0)</f>
        <v>#DIV/0!</v>
      </c>
      <c r="F37" s="171">
        <f>SUMIF(修正!A57:A68,G2,修正!B57:B68)</f>
        <v>0.6</v>
      </c>
      <c r="G37" s="171" t="e">
        <f>ROUND(IF(E2="工业",C37*$M$42,C37*$M$41),0)</f>
        <v>#DIV/0!</v>
      </c>
      <c r="H37" s="171">
        <f>D37</f>
        <v>0</v>
      </c>
      <c r="I37" s="171" t="e">
        <f>ROUND(G37*H37/10000,0)</f>
        <v>#DIV/0!</v>
      </c>
      <c r="J37" s="3003"/>
      <c r="K37" s="3350" t="s">
        <v>3259</v>
      </c>
      <c r="L37" s="3348">
        <f ca="1">L36+K38</f>
        <v>3.85E-2</v>
      </c>
      <c r="M37" s="3349">
        <f ca="1">ROUND($L$37*(1+M31),3)</f>
        <v>4.8000000000000001E-2</v>
      </c>
      <c r="N37" s="3349">
        <f t="shared" ref="N37:Q37" ca="1" si="3">ROUND($L$37*(1+N31),3)</f>
        <v>4.5999999999999999E-2</v>
      </c>
      <c r="O37" s="3349">
        <f t="shared" ca="1" si="3"/>
        <v>4.3999999999999997E-2</v>
      </c>
      <c r="P37" s="3349">
        <f t="shared" ca="1" si="3"/>
        <v>4.2000000000000003E-2</v>
      </c>
      <c r="Q37" s="3349">
        <f t="shared" ca="1" si="3"/>
        <v>4.3999999999999997E-2</v>
      </c>
      <c r="R37" s="1117"/>
      <c r="S37" s="1117"/>
      <c r="T37" s="1117"/>
      <c r="U37" s="1117"/>
      <c r="V37" s="1117"/>
      <c r="W37" s="1117"/>
      <c r="X37" s="1117"/>
      <c r="Y37" s="1117"/>
      <c r="Z37" s="1118"/>
      <c r="AA37" s="1118"/>
      <c r="AB37" s="1118"/>
      <c r="AC37" s="1118"/>
      <c r="AD37" s="1118"/>
      <c r="AE37" s="1118"/>
      <c r="AF37" s="1118"/>
      <c r="AG37" s="2135"/>
      <c r="AH37" s="2135"/>
      <c r="AI37" s="2135"/>
      <c r="AJ37" s="2135"/>
    </row>
    <row r="38" spans="1:37">
      <c r="A38" s="3778"/>
      <c r="B38" s="2035" t="s">
        <v>2035</v>
      </c>
      <c r="C38" s="175" t="e">
        <f>ROUND(D5*C22*C23*C24*C28*F38,0)</f>
        <v>#DIV/0!</v>
      </c>
      <c r="D38" s="2092"/>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02"/>
      <c r="K38" s="3348">
        <v>5.0000000000000001E-3</v>
      </c>
      <c r="L38" s="3348"/>
      <c r="M38" s="3348"/>
      <c r="N38" s="3348"/>
      <c r="O38" s="3348"/>
      <c r="P38" s="3348"/>
      <c r="Q38" s="3348"/>
      <c r="R38" s="1117"/>
      <c r="S38" s="1117"/>
      <c r="T38" s="1117"/>
      <c r="U38" s="1117"/>
      <c r="V38" s="1117"/>
      <c r="W38" s="1117"/>
      <c r="X38" s="1117"/>
      <c r="Y38" s="1117"/>
      <c r="Z38" s="1118"/>
      <c r="AA38" s="1118"/>
      <c r="AB38" s="1118"/>
      <c r="AC38" s="1118"/>
      <c r="AD38" s="1118"/>
    </row>
    <row r="39" spans="1:37" ht="13.5" thickBot="1">
      <c r="A39" s="3778"/>
      <c r="B39" s="2035" t="s">
        <v>3252</v>
      </c>
      <c r="C39" s="175" t="e">
        <f>ROUND(D5*C22*C23*C24*C28*F39,0)</f>
        <v>#DIV/0!</v>
      </c>
      <c r="D39" s="2092"/>
      <c r="E39" s="171" t="e">
        <f t="shared" si="4"/>
        <v>#DIV/0!</v>
      </c>
      <c r="F39" s="171">
        <f>SUMIF(修正!A57:A68,G2,修正!D57:D68)</f>
        <v>0.25</v>
      </c>
      <c r="G39" s="171" t="e">
        <f>ROUND(IF(E2="工业",C39*$M$42,C39*$M$41),0)</f>
        <v>#DIV/0!</v>
      </c>
      <c r="H39" s="171">
        <f t="shared" si="5"/>
        <v>0</v>
      </c>
      <c r="I39" s="171" t="e">
        <f t="shared" si="6"/>
        <v>#DIV/0!</v>
      </c>
      <c r="J39" s="3002"/>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09"/>
      <c r="B40" s="2035" t="s">
        <v>2036</v>
      </c>
      <c r="C40" s="171" t="e">
        <f>ROUND(D5*C22*C23*C24*C28*F40,0)</f>
        <v>#DIV/0!</v>
      </c>
      <c r="D40" s="2092"/>
      <c r="E40" s="171" t="e">
        <f t="shared" si="4"/>
        <v>#DIV/0!</v>
      </c>
      <c r="F40" s="175">
        <f>SUMIF(修正!A57:A68,G2,修正!E57:E68)</f>
        <v>0.25</v>
      </c>
      <c r="G40" s="171" t="e">
        <f>ROUND(IF(E2="工业",C40*$M$42,C40*$M$41),0)</f>
        <v>#DIV/0!</v>
      </c>
      <c r="H40" s="171">
        <f t="shared" si="5"/>
        <v>0</v>
      </c>
      <c r="I40" s="171" t="e">
        <f t="shared" si="6"/>
        <v>#DIV/0!</v>
      </c>
      <c r="J40" s="2108"/>
      <c r="L40" s="2110" t="s">
        <v>2037</v>
      </c>
      <c r="M40" s="2111"/>
      <c r="Z40" s="1118"/>
      <c r="AA40" s="1118"/>
      <c r="AB40" s="1118"/>
      <c r="AC40" s="1118"/>
      <c r="AD40" s="1118"/>
      <c r="AE40" s="1118"/>
      <c r="AF40" s="1118"/>
      <c r="AG40" s="1118"/>
      <c r="AH40" s="1118"/>
      <c r="AI40" s="1118"/>
      <c r="AJ40" s="1118"/>
    </row>
    <row r="41" spans="1:37" s="1117" customFormat="1">
      <c r="A41" s="2109"/>
      <c r="B41" s="2035" t="s">
        <v>2038</v>
      </c>
      <c r="C41" s="171" t="e">
        <f>ROUND(D5*C22*C23*C44*C28*F41,0)</f>
        <v>#DIV/0!</v>
      </c>
      <c r="D41" s="2092"/>
      <c r="E41" s="171" t="e">
        <f t="shared" si="4"/>
        <v>#DIV/0!</v>
      </c>
      <c r="F41" s="175">
        <f>SUMIF(修正!A57:A68,G2,修正!F57:F68)</f>
        <v>0.25</v>
      </c>
      <c r="G41" s="171" t="e">
        <f>ROUND(IF(E2="工业",C41*$M$42,C41*$M$41),0)</f>
        <v>#DIV/0!</v>
      </c>
      <c r="H41" s="171">
        <f t="shared" si="5"/>
        <v>0</v>
      </c>
      <c r="I41" s="171" t="e">
        <f t="shared" si="6"/>
        <v>#DIV/0!</v>
      </c>
      <c r="J41" s="2108"/>
      <c r="L41" s="3351" t="s">
        <v>3260</v>
      </c>
      <c r="M41" s="2112">
        <v>0.25</v>
      </c>
      <c r="Z41" s="1118"/>
      <c r="AA41" s="1118"/>
      <c r="AB41" s="1118"/>
      <c r="AC41" s="1118"/>
      <c r="AD41" s="1118"/>
      <c r="AE41" s="1118"/>
      <c r="AF41" s="1118"/>
      <c r="AG41" s="1118"/>
      <c r="AH41" s="1118"/>
      <c r="AI41" s="1118"/>
      <c r="AJ41" s="1118"/>
    </row>
    <row r="42" spans="1:37" s="1117" customFormat="1" ht="13.5" thickBot="1">
      <c r="A42" s="2095"/>
      <c r="B42" s="2113" t="s">
        <v>2039</v>
      </c>
      <c r="C42" s="187" t="e">
        <f>ROUND(D5*C22*C23*C44*C28*F42,0)</f>
        <v>#DIV/0!</v>
      </c>
      <c r="D42" s="2097"/>
      <c r="E42" s="187" t="e">
        <f t="shared" si="4"/>
        <v>#DIV/0!</v>
      </c>
      <c r="F42" s="765">
        <f>SUMIF(修正!A57:A68,G2,修正!G57:G68)</f>
        <v>0.15</v>
      </c>
      <c r="G42" s="187" t="e">
        <f>ROUND(IF(E2="工业",C42*$M$42,C42*$M$41),0)</f>
        <v>#DIV/0!</v>
      </c>
      <c r="H42" s="187">
        <f t="shared" si="5"/>
        <v>0</v>
      </c>
      <c r="I42" s="187" t="e">
        <f t="shared" si="6"/>
        <v>#DIV/0!</v>
      </c>
      <c r="J42" s="2114"/>
      <c r="L42" s="2115" t="s">
        <v>1991</v>
      </c>
      <c r="M42" s="2116">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48" t="s">
        <v>2120</v>
      </c>
      <c r="C44" s="342" t="e">
        <f>ROUND(POWER(1+E44,H44-G44)*(POWER(1+E44,G44)-1)/(POWER(1+E44,H44)-1),4)</f>
        <v>#DIV/0!</v>
      </c>
      <c r="D44" s="171" t="s">
        <v>1997</v>
      </c>
      <c r="E44" s="2147">
        <f>G24</f>
        <v>0</v>
      </c>
      <c r="F44" s="171" t="s">
        <v>2006</v>
      </c>
      <c r="G44" s="183"/>
      <c r="H44" s="171">
        <v>50</v>
      </c>
      <c r="Z44" s="1118"/>
      <c r="AA44" s="1118"/>
      <c r="AB44" s="1118"/>
      <c r="AC44" s="1118"/>
      <c r="AD44" s="1118"/>
      <c r="AE44" s="1118"/>
      <c r="AF44" s="1118"/>
      <c r="AG44" s="1118"/>
      <c r="AH44" s="1118"/>
      <c r="AI44" s="1118"/>
      <c r="AJ44" s="1118"/>
    </row>
    <row r="45" spans="1:37" s="1117" customFormat="1">
      <c r="A45" s="1118"/>
      <c r="B45" s="2117"/>
      <c r="Z45" s="1118"/>
      <c r="AA45" s="1118"/>
      <c r="AB45" s="1118"/>
      <c r="AC45" s="1118"/>
      <c r="AD45" s="1118"/>
      <c r="AE45" s="1118"/>
      <c r="AF45" s="1118"/>
      <c r="AG45" s="1118"/>
      <c r="AH45" s="1118"/>
      <c r="AI45" s="1118"/>
      <c r="AJ45" s="1118"/>
    </row>
    <row r="46" spans="1:37" s="1117" customFormat="1">
      <c r="A46" s="1118"/>
      <c r="B46" s="2117"/>
      <c r="AA46" s="1118"/>
      <c r="AB46" s="1118"/>
      <c r="AC46" s="1118"/>
      <c r="AD46" s="1118"/>
      <c r="AE46" s="1118"/>
      <c r="AF46" s="1118"/>
      <c r="AG46" s="1118"/>
      <c r="AH46" s="1118"/>
      <c r="AI46" s="1118"/>
      <c r="AJ46" s="1118"/>
      <c r="AK46" s="1118"/>
    </row>
    <row r="47" spans="1:37" s="1117" customFormat="1" ht="15.75" thickBot="1">
      <c r="A47" s="2118" t="s">
        <v>2040</v>
      </c>
      <c r="B47" s="2119"/>
      <c r="C47" s="4"/>
      <c r="D47" s="4"/>
      <c r="E47" s="4"/>
      <c r="F47" s="3"/>
      <c r="G47" s="3"/>
      <c r="H47" s="3"/>
      <c r="I47" s="1818"/>
      <c r="J47" s="1818"/>
      <c r="K47" s="1818"/>
      <c r="L47" s="1818"/>
      <c r="M47" s="1818"/>
      <c r="AA47" s="1118"/>
      <c r="AB47" s="1118"/>
      <c r="AC47" s="1118"/>
      <c r="AD47" s="1118"/>
      <c r="AE47" s="1118"/>
      <c r="AF47" s="1118"/>
      <c r="AG47" s="1118"/>
      <c r="AH47" s="1118"/>
      <c r="AI47" s="1118"/>
      <c r="AJ47" s="1118"/>
      <c r="AK47" s="1118"/>
    </row>
    <row r="48" spans="1:37" s="1117" customFormat="1" ht="15">
      <c r="A48" s="2120" t="s">
        <v>2041</v>
      </c>
      <c r="B48" s="2121">
        <f>1+E50</f>
        <v>1</v>
      </c>
      <c r="C48" s="2122"/>
      <c r="D48" s="739"/>
      <c r="E48" s="740"/>
      <c r="F48" s="2123"/>
      <c r="G48" s="3"/>
      <c r="H48" s="4"/>
      <c r="I48" s="1818"/>
      <c r="J48" s="1818"/>
      <c r="K48" s="1818"/>
      <c r="L48" s="1818"/>
      <c r="M48" s="1818"/>
      <c r="AA48" s="1118"/>
      <c r="AB48" s="1118"/>
      <c r="AC48" s="1118"/>
      <c r="AD48" s="1118"/>
      <c r="AE48" s="1118"/>
      <c r="AF48" s="1118"/>
      <c r="AG48" s="1118"/>
      <c r="AH48" s="1118"/>
      <c r="AI48" s="1118"/>
      <c r="AJ48" s="1118"/>
      <c r="AK48" s="1118"/>
    </row>
    <row r="49" spans="1:37" s="1117" customFormat="1" ht="24.75">
      <c r="A49" s="2124" t="s">
        <v>2042</v>
      </c>
      <c r="B49" s="1348" t="s">
        <v>2043</v>
      </c>
      <c r="C49" s="1348" t="s">
        <v>2044</v>
      </c>
      <c r="D49" s="1348" t="s">
        <v>2045</v>
      </c>
      <c r="E49" s="741" t="s">
        <v>2046</v>
      </c>
      <c r="F49" s="2125" t="s">
        <v>2047</v>
      </c>
      <c r="G49" s="1348" t="s">
        <v>310</v>
      </c>
      <c r="H49" s="2126" t="s">
        <v>2048</v>
      </c>
      <c r="I49" s="1348" t="s">
        <v>2049</v>
      </c>
      <c r="J49" s="550" t="s">
        <v>1719</v>
      </c>
      <c r="K49" s="550" t="s">
        <v>1720</v>
      </c>
      <c r="L49" s="550" t="s">
        <v>1721</v>
      </c>
      <c r="M49" s="550" t="s">
        <v>1722</v>
      </c>
      <c r="N49" s="550" t="s">
        <v>1723</v>
      </c>
      <c r="AA49" s="1118"/>
      <c r="AB49" s="1118"/>
      <c r="AC49" s="1118"/>
      <c r="AD49" s="1118"/>
      <c r="AE49" s="1118"/>
      <c r="AF49" s="1118"/>
      <c r="AG49" s="1118"/>
      <c r="AH49" s="1118"/>
      <c r="AI49" s="1118"/>
      <c r="AJ49" s="1118"/>
      <c r="AK49" s="1118"/>
    </row>
    <row r="50" spans="1:37" s="1117" customFormat="1" ht="24.75">
      <c r="A50" s="2124" t="s">
        <v>2050</v>
      </c>
      <c r="B50" s="2127" t="str">
        <f>估价对象房地状况!C4</f>
        <v>一般</v>
      </c>
      <c r="C50" s="2038"/>
      <c r="D50" s="1063">
        <f t="shared" ref="D50:D58" si="7">SUMIF($J$49:$N$49,C50,J50:N50)</f>
        <v>0</v>
      </c>
      <c r="E50" s="742">
        <f>ROUND(SUM(D50:D58),4)</f>
        <v>0</v>
      </c>
      <c r="F50" s="1811" t="str">
        <f>IF(E2="商业",SUMIF(L1:L12,G2,N1:N12),"——")</f>
        <v>——</v>
      </c>
      <c r="G50" s="1061"/>
      <c r="H50" s="1064" t="str">
        <f t="shared" ref="H50:H58" si="8">IFERROR(ROUNDDOWN($F$50*I50/2,4),"——")</f>
        <v>——</v>
      </c>
      <c r="I50" s="3358">
        <v>0.3</v>
      </c>
      <c r="J50" s="1062">
        <f t="shared" ref="J50:J58" si="9">K50+$G50</f>
        <v>0</v>
      </c>
      <c r="K50" s="1062">
        <f t="shared" ref="K50:K58" si="10">$L50+$G50</f>
        <v>0</v>
      </c>
      <c r="L50" s="1062">
        <v>0</v>
      </c>
      <c r="M50" s="1062">
        <f t="shared" ref="M50:N58" si="11">L50-$G50</f>
        <v>0</v>
      </c>
      <c r="N50" s="1062">
        <f t="shared" si="11"/>
        <v>0</v>
      </c>
      <c r="AA50" s="1118"/>
      <c r="AB50" s="1118"/>
      <c r="AC50" s="1118"/>
      <c r="AD50" s="1118"/>
      <c r="AE50" s="1118"/>
      <c r="AF50" s="1118"/>
      <c r="AG50" s="1118"/>
      <c r="AH50" s="1118"/>
      <c r="AI50" s="1118"/>
      <c r="AJ50" s="1118"/>
      <c r="AK50" s="1118"/>
    </row>
    <row r="51" spans="1:37" s="1117" customFormat="1" ht="14.25">
      <c r="A51" s="2124" t="s">
        <v>2051</v>
      </c>
      <c r="B51" s="2128" t="str">
        <f>估价对象房地状况!C18</f>
        <v>一般</v>
      </c>
      <c r="C51" s="2038"/>
      <c r="D51" s="1063">
        <f t="shared" si="7"/>
        <v>0</v>
      </c>
      <c r="E51" s="743"/>
      <c r="F51" s="1811"/>
      <c r="G51" s="1061"/>
      <c r="H51" s="1064" t="str">
        <f t="shared" si="8"/>
        <v>——</v>
      </c>
      <c r="I51" s="3358">
        <v>0.22</v>
      </c>
      <c r="J51" s="1062">
        <f t="shared" si="9"/>
        <v>0</v>
      </c>
      <c r="K51" s="1062">
        <f t="shared" si="10"/>
        <v>0</v>
      </c>
      <c r="L51" s="1062">
        <v>0</v>
      </c>
      <c r="M51" s="1062">
        <f t="shared" si="11"/>
        <v>0</v>
      </c>
      <c r="N51" s="1062">
        <f t="shared" si="11"/>
        <v>0</v>
      </c>
      <c r="AA51" s="1118"/>
      <c r="AB51" s="1118"/>
      <c r="AC51" s="1118"/>
      <c r="AD51" s="1118"/>
      <c r="AE51" s="1118"/>
      <c r="AF51" s="1118"/>
      <c r="AG51" s="1118"/>
      <c r="AH51" s="1118"/>
      <c r="AI51" s="1118"/>
      <c r="AJ51" s="1118"/>
      <c r="AK51" s="1118"/>
    </row>
    <row r="52" spans="1:37" s="1117" customFormat="1" ht="36">
      <c r="A52" s="3360" t="s">
        <v>3262</v>
      </c>
      <c r="B52" s="2128">
        <f>估价对象房地状况!C19</f>
        <v>0</v>
      </c>
      <c r="C52" s="2038"/>
      <c r="D52" s="1063">
        <f t="shared" si="7"/>
        <v>0</v>
      </c>
      <c r="E52" s="743"/>
      <c r="F52" s="1811"/>
      <c r="G52" s="1061"/>
      <c r="H52" s="1064" t="str">
        <f t="shared" si="8"/>
        <v>——</v>
      </c>
      <c r="I52" s="3358">
        <v>0.12</v>
      </c>
      <c r="J52" s="1062">
        <f t="shared" si="9"/>
        <v>0</v>
      </c>
      <c r="K52" s="1062">
        <f t="shared" si="10"/>
        <v>0</v>
      </c>
      <c r="L52" s="1062">
        <v>0</v>
      </c>
      <c r="M52" s="1062">
        <f t="shared" si="11"/>
        <v>0</v>
      </c>
      <c r="N52" s="1062">
        <f t="shared" si="11"/>
        <v>0</v>
      </c>
      <c r="AA52" s="1118"/>
      <c r="AB52" s="1118"/>
      <c r="AC52" s="1118"/>
      <c r="AD52" s="1118"/>
      <c r="AE52" s="1118"/>
      <c r="AF52" s="1118"/>
      <c r="AG52" s="1118"/>
      <c r="AH52" s="1118"/>
      <c r="AI52" s="1118"/>
      <c r="AJ52" s="1118"/>
      <c r="AK52" s="1118"/>
    </row>
    <row r="53" spans="1:37" s="1117" customFormat="1" ht="36.75">
      <c r="A53" s="2124" t="s">
        <v>2052</v>
      </c>
      <c r="B53" s="2129" t="s">
        <v>2053</v>
      </c>
      <c r="C53" s="2038"/>
      <c r="D53" s="1063">
        <f t="shared" si="7"/>
        <v>0</v>
      </c>
      <c r="E53" s="743"/>
      <c r="F53" s="1811"/>
      <c r="G53" s="1061"/>
      <c r="H53" s="1064" t="str">
        <f t="shared" si="8"/>
        <v>——</v>
      </c>
      <c r="I53" s="3358">
        <v>0.05</v>
      </c>
      <c r="J53" s="1062">
        <f t="shared" si="9"/>
        <v>0</v>
      </c>
      <c r="K53" s="1062">
        <f t="shared" si="10"/>
        <v>0</v>
      </c>
      <c r="L53" s="1062">
        <v>0</v>
      </c>
      <c r="M53" s="1062">
        <f t="shared" si="11"/>
        <v>0</v>
      </c>
      <c r="N53" s="1062">
        <f t="shared" si="11"/>
        <v>0</v>
      </c>
      <c r="AA53" s="1118"/>
      <c r="AB53" s="1118"/>
      <c r="AC53" s="1118"/>
      <c r="AD53" s="1118"/>
      <c r="AE53" s="1118"/>
      <c r="AF53" s="1118"/>
      <c r="AG53" s="1118"/>
      <c r="AH53" s="1118"/>
      <c r="AI53" s="1118"/>
      <c r="AJ53" s="1118"/>
      <c r="AK53" s="1118"/>
    </row>
    <row r="54" spans="1:37" s="1117" customFormat="1" ht="24">
      <c r="A54" s="2124" t="s">
        <v>2054</v>
      </c>
      <c r="B54" s="2128">
        <f>估价对象房地状况!C24</f>
        <v>0</v>
      </c>
      <c r="C54" s="2038"/>
      <c r="D54" s="1063">
        <f t="shared" si="7"/>
        <v>0</v>
      </c>
      <c r="E54" s="743"/>
      <c r="F54" s="1811"/>
      <c r="G54" s="1061"/>
      <c r="H54" s="1064" t="str">
        <f t="shared" si="8"/>
        <v>——</v>
      </c>
      <c r="I54" s="3358">
        <v>0.08</v>
      </c>
      <c r="J54" s="1062">
        <f t="shared" si="9"/>
        <v>0</v>
      </c>
      <c r="K54" s="1062">
        <f t="shared" si="10"/>
        <v>0</v>
      </c>
      <c r="L54" s="1062">
        <v>0</v>
      </c>
      <c r="M54" s="1062">
        <f t="shared" si="11"/>
        <v>0</v>
      </c>
      <c r="N54" s="1062">
        <f t="shared" si="11"/>
        <v>0</v>
      </c>
      <c r="AA54" s="1118"/>
      <c r="AB54" s="1118"/>
      <c r="AC54" s="1118"/>
      <c r="AD54" s="1118"/>
      <c r="AE54" s="1118"/>
      <c r="AF54" s="1118"/>
      <c r="AG54" s="1118"/>
      <c r="AH54" s="1118"/>
      <c r="AI54" s="1118"/>
      <c r="AJ54" s="1118"/>
      <c r="AK54" s="1118"/>
    </row>
    <row r="55" spans="1:37" s="1117" customFormat="1" ht="24">
      <c r="A55" s="2124" t="s">
        <v>2055</v>
      </c>
      <c r="B55" s="2130" t="s">
        <v>2056</v>
      </c>
      <c r="C55" s="2038"/>
      <c r="D55" s="1063">
        <f t="shared" si="7"/>
        <v>0</v>
      </c>
      <c r="E55" s="743"/>
      <c r="F55" s="1811"/>
      <c r="G55" s="1061"/>
      <c r="H55" s="1064" t="str">
        <f t="shared" si="8"/>
        <v>——</v>
      </c>
      <c r="I55" s="3358">
        <v>0.05</v>
      </c>
      <c r="J55" s="1062">
        <f t="shared" si="9"/>
        <v>0</v>
      </c>
      <c r="K55" s="1062">
        <f t="shared" si="10"/>
        <v>0</v>
      </c>
      <c r="L55" s="1062">
        <v>0</v>
      </c>
      <c r="M55" s="1062">
        <f t="shared" si="11"/>
        <v>0</v>
      </c>
      <c r="N55" s="1062">
        <f t="shared" si="11"/>
        <v>0</v>
      </c>
      <c r="AA55" s="1118"/>
      <c r="AB55" s="1118"/>
      <c r="AC55" s="1118"/>
      <c r="AD55" s="1118"/>
      <c r="AE55" s="1118"/>
      <c r="AF55" s="1118"/>
      <c r="AG55" s="1118"/>
      <c r="AH55" s="1118"/>
      <c r="AI55" s="1118"/>
      <c r="AJ55" s="1118"/>
      <c r="AK55" s="1118"/>
    </row>
    <row r="56" spans="1:37" s="1117" customFormat="1" ht="24">
      <c r="A56" s="2131" t="s">
        <v>2057</v>
      </c>
      <c r="B56" s="1323" t="str">
        <f>估价对象房地状况!C21</f>
        <v>一般</v>
      </c>
      <c r="C56" s="2038"/>
      <c r="D56" s="1063">
        <f t="shared" si="7"/>
        <v>0</v>
      </c>
      <c r="E56" s="743"/>
      <c r="F56" s="1811"/>
      <c r="G56" s="1061"/>
      <c r="H56" s="1064" t="str">
        <f t="shared" si="8"/>
        <v>——</v>
      </c>
      <c r="I56" s="3358">
        <v>0.05</v>
      </c>
      <c r="J56" s="1062">
        <f t="shared" si="9"/>
        <v>0</v>
      </c>
      <c r="K56" s="1062">
        <f t="shared" si="10"/>
        <v>0</v>
      </c>
      <c r="L56" s="1062">
        <v>0</v>
      </c>
      <c r="M56" s="1062">
        <f t="shared" si="11"/>
        <v>0</v>
      </c>
      <c r="N56" s="1062">
        <f t="shared" si="11"/>
        <v>0</v>
      </c>
      <c r="AA56" s="1118"/>
      <c r="AB56" s="1118"/>
      <c r="AC56" s="1118"/>
      <c r="AD56" s="1118"/>
      <c r="AE56" s="1118"/>
      <c r="AF56" s="1118"/>
      <c r="AG56" s="1118"/>
      <c r="AH56" s="1118"/>
      <c r="AI56" s="1118"/>
      <c r="AJ56" s="1118"/>
      <c r="AK56" s="1118"/>
    </row>
    <row r="57" spans="1:37" s="1117" customFormat="1" ht="24">
      <c r="A57" s="2131" t="s">
        <v>2058</v>
      </c>
      <c r="B57" s="2128" t="str">
        <f>估价对象房地状况!C22</f>
        <v>六通</v>
      </c>
      <c r="C57" s="2038"/>
      <c r="D57" s="1063">
        <f t="shared" si="7"/>
        <v>0</v>
      </c>
      <c r="E57" s="743"/>
      <c r="F57" s="1811"/>
      <c r="G57" s="1061"/>
      <c r="H57" s="1064" t="str">
        <f t="shared" si="8"/>
        <v>——</v>
      </c>
      <c r="I57" s="3358">
        <v>0.08</v>
      </c>
      <c r="J57" s="1062">
        <f t="shared" si="9"/>
        <v>0</v>
      </c>
      <c r="K57" s="1062">
        <f t="shared" si="10"/>
        <v>0</v>
      </c>
      <c r="L57" s="1062">
        <v>0</v>
      </c>
      <c r="M57" s="1062">
        <f t="shared" si="11"/>
        <v>0</v>
      </c>
      <c r="N57" s="1062">
        <f t="shared" si="11"/>
        <v>0</v>
      </c>
      <c r="AA57" s="1118"/>
      <c r="AB57" s="1118"/>
      <c r="AC57" s="1118"/>
      <c r="AD57" s="1118"/>
      <c r="AE57" s="1118"/>
      <c r="AF57" s="1118"/>
      <c r="AG57" s="1118"/>
      <c r="AH57" s="1118"/>
      <c r="AI57" s="1118"/>
      <c r="AJ57" s="1118"/>
      <c r="AK57" s="1118"/>
    </row>
    <row r="58" spans="1:37" s="1117" customFormat="1" ht="24.75" thickBot="1">
      <c r="A58" s="2132" t="s">
        <v>2059</v>
      </c>
      <c r="B58" s="2133" t="str">
        <f>估价对象房地状况!C20</f>
        <v>较好</v>
      </c>
      <c r="C58" s="2038"/>
      <c r="D58" s="1063">
        <f t="shared" si="7"/>
        <v>0</v>
      </c>
      <c r="E58" s="744"/>
      <c r="F58" s="1811"/>
      <c r="G58" s="1061"/>
      <c r="H58" s="1064" t="str">
        <f t="shared" si="8"/>
        <v>——</v>
      </c>
      <c r="I58" s="3359">
        <v>0.05</v>
      </c>
      <c r="J58" s="1062">
        <f t="shared" si="9"/>
        <v>0</v>
      </c>
      <c r="K58" s="1062">
        <f t="shared" si="10"/>
        <v>0</v>
      </c>
      <c r="L58" s="1062">
        <v>0</v>
      </c>
      <c r="M58" s="1062">
        <f t="shared" si="11"/>
        <v>0</v>
      </c>
      <c r="N58" s="1062">
        <f t="shared" si="11"/>
        <v>0</v>
      </c>
      <c r="AA58" s="1118"/>
      <c r="AB58" s="1118"/>
      <c r="AC58" s="1118"/>
      <c r="AD58" s="1118"/>
      <c r="AE58" s="1118"/>
      <c r="AF58" s="1118"/>
      <c r="AG58" s="1118"/>
      <c r="AH58" s="1118"/>
      <c r="AI58" s="1118"/>
      <c r="AJ58" s="1118"/>
      <c r="AK58" s="1118"/>
    </row>
    <row r="59" spans="1:37" s="1117" customFormat="1" ht="15">
      <c r="A59" s="2120" t="s">
        <v>2060</v>
      </c>
      <c r="B59" s="2121">
        <f>1+E61</f>
        <v>1</v>
      </c>
      <c r="C59" s="739"/>
      <c r="D59" s="739"/>
      <c r="E59" s="740"/>
      <c r="F59" s="2123"/>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4" t="s">
        <v>2042</v>
      </c>
      <c r="B60" s="1348"/>
      <c r="C60" s="1348" t="s">
        <v>2044</v>
      </c>
      <c r="D60" s="1348" t="s">
        <v>2045</v>
      </c>
      <c r="E60" s="741" t="s">
        <v>2046</v>
      </c>
      <c r="F60" s="2125" t="s">
        <v>2061</v>
      </c>
      <c r="G60" s="1348" t="s">
        <v>310</v>
      </c>
      <c r="H60" s="2126" t="s">
        <v>2048</v>
      </c>
      <c r="I60" s="1348" t="s">
        <v>2049</v>
      </c>
      <c r="J60" s="550" t="s">
        <v>1719</v>
      </c>
      <c r="K60" s="550" t="s">
        <v>1720</v>
      </c>
      <c r="L60" s="550" t="s">
        <v>1721</v>
      </c>
      <c r="M60" s="550" t="s">
        <v>1722</v>
      </c>
      <c r="N60" s="550" t="s">
        <v>1723</v>
      </c>
      <c r="AA60" s="1118"/>
      <c r="AB60" s="1118"/>
      <c r="AC60" s="1118"/>
      <c r="AD60" s="1118"/>
      <c r="AE60" s="1118"/>
      <c r="AF60" s="1118"/>
      <c r="AG60" s="1118"/>
      <c r="AH60" s="1118"/>
      <c r="AI60" s="1118"/>
      <c r="AJ60" s="1118"/>
      <c r="AK60" s="1118"/>
    </row>
    <row r="61" spans="1:37" s="1117" customFormat="1" ht="24">
      <c r="A61" s="2124" t="s">
        <v>2062</v>
      </c>
      <c r="B61" s="2127" t="str">
        <f>估价对象房地状况!C17</f>
        <v>一般</v>
      </c>
      <c r="C61" s="2038"/>
      <c r="D61" s="1063">
        <f t="shared" ref="D61:D69" si="12">SUMIF($J$60:$N$60,C61,J61:N61)</f>
        <v>0</v>
      </c>
      <c r="E61" s="742">
        <f>ROUND(SUM(D61:D69),4)</f>
        <v>0</v>
      </c>
      <c r="F61" s="1811" t="str">
        <f>IF(E2="办公",SUMIF(L1:L12,G2,N1:N12),"——")</f>
        <v>——</v>
      </c>
      <c r="G61" s="1061"/>
      <c r="H61" s="1064" t="str">
        <f t="shared" ref="H61:H69" si="13">IFERROR(ROUNDDOWN($F$61*I61/2,4),"——")</f>
        <v>——</v>
      </c>
      <c r="I61" s="3358">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14.25">
      <c r="A62" s="2124" t="s">
        <v>2051</v>
      </c>
      <c r="B62" s="2128" t="str">
        <f>估价对象房地状况!C18</f>
        <v>一般</v>
      </c>
      <c r="C62" s="2038"/>
      <c r="D62" s="1063">
        <f t="shared" si="12"/>
        <v>0</v>
      </c>
      <c r="E62" s="743"/>
      <c r="F62" s="1811"/>
      <c r="G62" s="1061"/>
      <c r="H62" s="1064" t="str">
        <f t="shared" si="13"/>
        <v>——</v>
      </c>
      <c r="I62" s="3358">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0" t="s">
        <v>3262</v>
      </c>
      <c r="B63" s="2128">
        <f>估价对象房地状况!C19</f>
        <v>0</v>
      </c>
      <c r="C63" s="2038"/>
      <c r="D63" s="1063">
        <f t="shared" si="12"/>
        <v>0</v>
      </c>
      <c r="E63" s="743"/>
      <c r="F63" s="1811"/>
      <c r="G63" s="1061"/>
      <c r="H63" s="1064" t="str">
        <f t="shared" si="13"/>
        <v>——</v>
      </c>
      <c r="I63" s="3358">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4" t="s">
        <v>2052</v>
      </c>
      <c r="B64" s="2129" t="s">
        <v>2053</v>
      </c>
      <c r="C64" s="2038"/>
      <c r="D64" s="1063">
        <f t="shared" si="12"/>
        <v>0</v>
      </c>
      <c r="E64" s="743"/>
      <c r="F64" s="1811"/>
      <c r="G64" s="1061"/>
      <c r="H64" s="1064" t="str">
        <f t="shared" si="13"/>
        <v>——</v>
      </c>
      <c r="I64" s="3358">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4" t="s">
        <v>2054</v>
      </c>
      <c r="B65" s="2128">
        <f>估价对象房地状况!C24</f>
        <v>0</v>
      </c>
      <c r="C65" s="2038"/>
      <c r="D65" s="1063">
        <f t="shared" si="12"/>
        <v>0</v>
      </c>
      <c r="E65" s="743"/>
      <c r="F65" s="1811"/>
      <c r="G65" s="1061"/>
      <c r="H65" s="1064" t="str">
        <f t="shared" si="13"/>
        <v>——</v>
      </c>
      <c r="I65" s="3358">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4" t="s">
        <v>2055</v>
      </c>
      <c r="B66" s="2130" t="s">
        <v>2056</v>
      </c>
      <c r="C66" s="2038"/>
      <c r="D66" s="1063">
        <f t="shared" si="12"/>
        <v>0</v>
      </c>
      <c r="E66" s="743"/>
      <c r="F66" s="1811"/>
      <c r="G66" s="1061"/>
      <c r="H66" s="1064" t="str">
        <f t="shared" si="13"/>
        <v>——</v>
      </c>
      <c r="I66" s="3358">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4">
      <c r="A67" s="2124" t="s">
        <v>2057</v>
      </c>
      <c r="B67" s="1323" t="str">
        <f>估价对象房地状况!C21</f>
        <v>一般</v>
      </c>
      <c r="C67" s="2038"/>
      <c r="D67" s="1063">
        <f t="shared" si="12"/>
        <v>0</v>
      </c>
      <c r="E67" s="743"/>
      <c r="F67" s="1811"/>
      <c r="G67" s="1061"/>
      <c r="H67" s="1064" t="str">
        <f t="shared" si="13"/>
        <v>——</v>
      </c>
      <c r="I67" s="3358">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4">
      <c r="A68" s="2124" t="s">
        <v>2058</v>
      </c>
      <c r="B68" s="1323" t="str">
        <f>估价对象房地状况!C22</f>
        <v>六通</v>
      </c>
      <c r="C68" s="2038"/>
      <c r="D68" s="1063">
        <f t="shared" si="12"/>
        <v>0</v>
      </c>
      <c r="E68" s="743"/>
      <c r="F68" s="1811"/>
      <c r="G68" s="1061"/>
      <c r="H68" s="1064" t="str">
        <f t="shared" si="13"/>
        <v>——</v>
      </c>
      <c r="I68" s="3358">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4.75" thickBot="1">
      <c r="A69" s="2132" t="s">
        <v>2059</v>
      </c>
      <c r="B69" s="2134" t="str">
        <f>估价对象房地状况!C20</f>
        <v>较好</v>
      </c>
      <c r="C69" s="2038"/>
      <c r="D69" s="1063">
        <f t="shared" si="12"/>
        <v>0</v>
      </c>
      <c r="E69" s="744"/>
      <c r="F69" s="1811"/>
      <c r="G69" s="1061"/>
      <c r="H69" s="1064" t="str">
        <f t="shared" si="13"/>
        <v>——</v>
      </c>
      <c r="I69" s="3359">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0" t="s">
        <v>2063</v>
      </c>
      <c r="B70" s="2121">
        <f>1+E72</f>
        <v>1</v>
      </c>
      <c r="C70" s="739"/>
      <c r="D70" s="739"/>
      <c r="E70" s="740"/>
      <c r="F70" s="2123"/>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4" t="s">
        <v>2042</v>
      </c>
      <c r="B71" s="1348"/>
      <c r="C71" s="1348" t="s">
        <v>2044</v>
      </c>
      <c r="D71" s="1348" t="s">
        <v>2045</v>
      </c>
      <c r="E71" s="741" t="s">
        <v>2046</v>
      </c>
      <c r="F71" s="2125" t="s">
        <v>2061</v>
      </c>
      <c r="G71" s="1348" t="s">
        <v>310</v>
      </c>
      <c r="H71" s="2126" t="s">
        <v>2048</v>
      </c>
      <c r="I71" s="1348" t="s">
        <v>2049</v>
      </c>
      <c r="J71" s="550" t="s">
        <v>1719</v>
      </c>
      <c r="K71" s="550" t="s">
        <v>1720</v>
      </c>
      <c r="L71" s="550" t="s">
        <v>1721</v>
      </c>
      <c r="M71" s="550" t="s">
        <v>1722</v>
      </c>
      <c r="N71" s="550" t="s">
        <v>1723</v>
      </c>
      <c r="AA71" s="1118"/>
      <c r="AB71" s="1118"/>
      <c r="AC71" s="1118"/>
      <c r="AD71" s="1118"/>
      <c r="AE71" s="1118"/>
      <c r="AF71" s="1118"/>
      <c r="AG71" s="1118"/>
      <c r="AH71" s="1118"/>
      <c r="AI71" s="1118"/>
      <c r="AJ71" s="1118"/>
      <c r="AK71" s="1118"/>
    </row>
    <row r="72" spans="1:37" s="1117" customFormat="1" ht="24">
      <c r="A72" s="2124" t="s">
        <v>2064</v>
      </c>
      <c r="B72" s="2127" t="str">
        <f>估价对象房地状况!C15</f>
        <v>较好</v>
      </c>
      <c r="C72" s="2038"/>
      <c r="D72" s="1063">
        <f t="shared" ref="D72:D80" si="17">SUMIF($J$71:$N$71,C72,J72:N72)</f>
        <v>0</v>
      </c>
      <c r="E72" s="742">
        <f>ROUND(SUM(D72:D80),4)</f>
        <v>0</v>
      </c>
      <c r="F72" s="1811" t="str">
        <f>IF(E2="住宅",SUMIF(L1:L12,G2,N1:N12),"——")</f>
        <v>——</v>
      </c>
      <c r="G72" s="1061"/>
      <c r="H72" s="1064" t="str">
        <f t="shared" ref="H72:H80" si="18">IFERROR(ROUNDDOWN($F$72*I72/2,4),"——")</f>
        <v>——</v>
      </c>
      <c r="I72" s="3358">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14.25">
      <c r="A73" s="2124" t="s">
        <v>2051</v>
      </c>
      <c r="B73" s="2128" t="str">
        <f>估价对象房地状况!C18</f>
        <v>一般</v>
      </c>
      <c r="C73" s="2038"/>
      <c r="D73" s="1063">
        <f t="shared" si="17"/>
        <v>0</v>
      </c>
      <c r="E73" s="745"/>
      <c r="F73" s="1811"/>
      <c r="G73" s="1061"/>
      <c r="H73" s="1064" t="str">
        <f t="shared" si="18"/>
        <v>——</v>
      </c>
      <c r="I73" s="3358">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1" customFormat="1" ht="36">
      <c r="A74" s="3360" t="s">
        <v>3262</v>
      </c>
      <c r="B74" s="2128">
        <f>估价对象房地状况!C19</f>
        <v>0</v>
      </c>
      <c r="C74" s="2038"/>
      <c r="D74" s="1063">
        <f t="shared" si="17"/>
        <v>0</v>
      </c>
      <c r="E74" s="745"/>
      <c r="F74" s="1811"/>
      <c r="G74" s="1061"/>
      <c r="H74" s="1064" t="str">
        <f t="shared" si="18"/>
        <v>——</v>
      </c>
      <c r="I74" s="3358">
        <v>0.1</v>
      </c>
      <c r="J74" s="1062">
        <f t="shared" si="19"/>
        <v>0</v>
      </c>
      <c r="K74" s="1062">
        <f t="shared" si="20"/>
        <v>0</v>
      </c>
      <c r="L74" s="1062">
        <v>0</v>
      </c>
      <c r="M74" s="1062">
        <f t="shared" si="21"/>
        <v>0</v>
      </c>
      <c r="N74" s="1062">
        <f t="shared" si="21"/>
        <v>0</v>
      </c>
      <c r="O74" s="1117"/>
      <c r="P74" s="1117"/>
      <c r="Q74" s="1117"/>
      <c r="AA74" s="2135"/>
      <c r="AB74" s="1118"/>
      <c r="AC74" s="1118"/>
      <c r="AD74" s="1118"/>
      <c r="AE74" s="1118"/>
      <c r="AF74" s="1118"/>
      <c r="AG74" s="1118"/>
      <c r="AH74" s="2135"/>
      <c r="AI74" s="2135"/>
      <c r="AJ74" s="2135"/>
      <c r="AK74" s="2135"/>
    </row>
    <row r="75" spans="1:37" ht="14.25">
      <c r="A75" s="2124" t="s">
        <v>2065</v>
      </c>
      <c r="B75" s="2128">
        <f>估价对象房地状况!C24</f>
        <v>0</v>
      </c>
      <c r="C75" s="2038"/>
      <c r="D75" s="1063">
        <f t="shared" si="17"/>
        <v>0</v>
      </c>
      <c r="E75" s="745"/>
      <c r="F75" s="1811"/>
      <c r="G75" s="1061"/>
      <c r="H75" s="1064" t="str">
        <f t="shared" si="18"/>
        <v>——</v>
      </c>
      <c r="I75" s="3358">
        <v>0.05</v>
      </c>
      <c r="J75" s="1062">
        <f t="shared" si="19"/>
        <v>0</v>
      </c>
      <c r="K75" s="1062">
        <f t="shared" si="20"/>
        <v>0</v>
      </c>
      <c r="L75" s="1062">
        <v>0</v>
      </c>
      <c r="M75" s="1062">
        <f t="shared" si="21"/>
        <v>0</v>
      </c>
      <c r="N75" s="1062">
        <f t="shared" si="21"/>
        <v>0</v>
      </c>
      <c r="O75" s="1117"/>
      <c r="P75" s="1117"/>
      <c r="Q75" s="1991"/>
      <c r="Z75" s="1992"/>
      <c r="AA75" s="2047"/>
      <c r="AG75" s="1119"/>
      <c r="AK75" s="2047"/>
    </row>
    <row r="76" spans="1:37" ht="24">
      <c r="A76" s="2124" t="s">
        <v>2057</v>
      </c>
      <c r="B76" s="1323" t="str">
        <f>估价对象房地状况!C21</f>
        <v>一般</v>
      </c>
      <c r="C76" s="2038"/>
      <c r="D76" s="1063">
        <f t="shared" si="17"/>
        <v>0</v>
      </c>
      <c r="E76" s="745"/>
      <c r="F76" s="1811"/>
      <c r="G76" s="1061"/>
      <c r="H76" s="1064" t="str">
        <f t="shared" si="18"/>
        <v>——</v>
      </c>
      <c r="I76" s="3358">
        <v>0.08</v>
      </c>
      <c r="J76" s="1062">
        <f t="shared" si="19"/>
        <v>0</v>
      </c>
      <c r="K76" s="1062">
        <f t="shared" si="20"/>
        <v>0</v>
      </c>
      <c r="L76" s="1062">
        <v>0</v>
      </c>
      <c r="M76" s="1062">
        <f t="shared" si="21"/>
        <v>0</v>
      </c>
      <c r="N76" s="1062">
        <f t="shared" si="21"/>
        <v>0</v>
      </c>
      <c r="O76" s="1117"/>
      <c r="P76" s="1117"/>
      <c r="Z76" s="1992"/>
      <c r="AA76" s="2047"/>
      <c r="AG76" s="1119"/>
      <c r="AK76" s="2047"/>
    </row>
    <row r="77" spans="1:37" ht="24">
      <c r="A77" s="2124" t="s">
        <v>2058</v>
      </c>
      <c r="B77" s="1323" t="str">
        <f>估价对象房地状况!C22</f>
        <v>六通</v>
      </c>
      <c r="C77" s="2038"/>
      <c r="D77" s="1063">
        <f t="shared" si="17"/>
        <v>0</v>
      </c>
      <c r="E77" s="745"/>
      <c r="F77" s="1811"/>
      <c r="G77" s="1061"/>
      <c r="H77" s="1064" t="str">
        <f t="shared" si="18"/>
        <v>——</v>
      </c>
      <c r="I77" s="3358">
        <v>0.09</v>
      </c>
      <c r="J77" s="1062">
        <f t="shared" si="19"/>
        <v>0</v>
      </c>
      <c r="K77" s="1062">
        <f t="shared" si="20"/>
        <v>0</v>
      </c>
      <c r="L77" s="1062">
        <v>0</v>
      </c>
      <c r="M77" s="1062">
        <f t="shared" si="21"/>
        <v>0</v>
      </c>
      <c r="N77" s="1062">
        <f t="shared" si="21"/>
        <v>0</v>
      </c>
      <c r="O77" s="1117"/>
      <c r="P77" s="1117"/>
      <c r="Z77" s="1992"/>
      <c r="AA77" s="2047"/>
      <c r="AG77" s="1119"/>
      <c r="AK77" s="2047"/>
    </row>
    <row r="78" spans="1:37" ht="24">
      <c r="A78" s="2124" t="s">
        <v>2055</v>
      </c>
      <c r="B78" s="2130" t="s">
        <v>2056</v>
      </c>
      <c r="C78" s="2038"/>
      <c r="D78" s="1063">
        <f t="shared" si="17"/>
        <v>0</v>
      </c>
      <c r="E78" s="745"/>
      <c r="F78" s="1811"/>
      <c r="G78" s="1061"/>
      <c r="H78" s="1064" t="str">
        <f t="shared" si="18"/>
        <v>——</v>
      </c>
      <c r="I78" s="3358">
        <v>0.05</v>
      </c>
      <c r="J78" s="1062">
        <f t="shared" si="19"/>
        <v>0</v>
      </c>
      <c r="K78" s="1062">
        <f t="shared" si="20"/>
        <v>0</v>
      </c>
      <c r="L78" s="1062">
        <v>0</v>
      </c>
      <c r="M78" s="1062">
        <f t="shared" si="21"/>
        <v>0</v>
      </c>
      <c r="N78" s="1062">
        <f t="shared" si="21"/>
        <v>0</v>
      </c>
      <c r="O78" s="1991"/>
      <c r="P78" s="1991"/>
      <c r="Z78" s="1992"/>
      <c r="AA78" s="2047"/>
      <c r="AG78" s="1119"/>
      <c r="AK78" s="2047"/>
    </row>
    <row r="79" spans="1:37" ht="24">
      <c r="A79" s="2124" t="s">
        <v>2059</v>
      </c>
      <c r="B79" s="2127" t="str">
        <f>估价对象房地状况!C20</f>
        <v>较好</v>
      </c>
      <c r="C79" s="2038"/>
      <c r="D79" s="1063">
        <f t="shared" si="17"/>
        <v>0</v>
      </c>
      <c r="E79" s="745"/>
      <c r="F79" s="1811"/>
      <c r="G79" s="1061"/>
      <c r="H79" s="1064" t="str">
        <f t="shared" si="18"/>
        <v>——</v>
      </c>
      <c r="I79" s="3358">
        <v>0.12</v>
      </c>
      <c r="J79" s="1062">
        <f t="shared" si="19"/>
        <v>0</v>
      </c>
      <c r="K79" s="1062">
        <f t="shared" si="20"/>
        <v>0</v>
      </c>
      <c r="L79" s="1062">
        <v>0</v>
      </c>
      <c r="M79" s="1062">
        <f t="shared" si="21"/>
        <v>0</v>
      </c>
      <c r="N79" s="1062">
        <f t="shared" si="21"/>
        <v>0</v>
      </c>
      <c r="Z79" s="1992"/>
      <c r="AA79" s="2047"/>
      <c r="AG79" s="1119"/>
      <c r="AK79" s="2047"/>
    </row>
    <row r="80" spans="1:37" ht="24.75" thickBot="1">
      <c r="A80" s="2132" t="s">
        <v>2066</v>
      </c>
      <c r="B80" s="2136"/>
      <c r="C80" s="2038"/>
      <c r="D80" s="1063">
        <f t="shared" si="17"/>
        <v>0</v>
      </c>
      <c r="E80" s="746"/>
      <c r="F80" s="1811"/>
      <c r="G80" s="1061"/>
      <c r="H80" s="1064" t="str">
        <f t="shared" si="18"/>
        <v>——</v>
      </c>
      <c r="I80" s="3359">
        <v>0.05</v>
      </c>
      <c r="J80" s="1062">
        <f t="shared" si="19"/>
        <v>0</v>
      </c>
      <c r="K80" s="1062">
        <f t="shared" si="20"/>
        <v>0</v>
      </c>
      <c r="L80" s="1062">
        <v>0</v>
      </c>
      <c r="M80" s="1062">
        <f t="shared" si="21"/>
        <v>0</v>
      </c>
      <c r="N80" s="1062">
        <f t="shared" si="21"/>
        <v>0</v>
      </c>
      <c r="Z80" s="1992"/>
      <c r="AA80" s="2047"/>
      <c r="AG80" s="1119"/>
      <c r="AK80" s="2047"/>
    </row>
    <row r="81" spans="1:37" ht="15">
      <c r="A81" s="2120" t="s">
        <v>2067</v>
      </c>
      <c r="B81" s="2121">
        <f>1+E83</f>
        <v>1</v>
      </c>
      <c r="C81" s="739"/>
      <c r="D81" s="739"/>
      <c r="E81" s="740"/>
      <c r="F81" s="2123"/>
      <c r="G81" s="3"/>
      <c r="H81" s="3"/>
      <c r="I81" s="3"/>
      <c r="J81" s="4"/>
      <c r="K81" s="4"/>
      <c r="L81" s="4"/>
      <c r="M81" s="4"/>
      <c r="N81" s="4"/>
      <c r="Z81" s="1992"/>
      <c r="AA81" s="2047"/>
      <c r="AG81" s="1119"/>
      <c r="AK81" s="2047"/>
    </row>
    <row r="82" spans="1:37" ht="24.75">
      <c r="A82" s="2124" t="s">
        <v>2042</v>
      </c>
      <c r="B82" s="1348"/>
      <c r="C82" s="1348" t="s">
        <v>2044</v>
      </c>
      <c r="D82" s="1348" t="s">
        <v>2045</v>
      </c>
      <c r="E82" s="741" t="s">
        <v>2046</v>
      </c>
      <c r="F82" s="2125" t="s">
        <v>2061</v>
      </c>
      <c r="G82" s="1348" t="s">
        <v>310</v>
      </c>
      <c r="H82" s="2126" t="s">
        <v>2048</v>
      </c>
      <c r="I82" s="1348" t="s">
        <v>2049</v>
      </c>
      <c r="J82" s="550" t="s">
        <v>1719</v>
      </c>
      <c r="K82" s="550" t="s">
        <v>1720</v>
      </c>
      <c r="L82" s="550" t="s">
        <v>1721</v>
      </c>
      <c r="M82" s="550" t="s">
        <v>1722</v>
      </c>
      <c r="N82" s="550" t="s">
        <v>1723</v>
      </c>
      <c r="Z82" s="1992"/>
      <c r="AA82" s="2047"/>
      <c r="AG82" s="1119"/>
      <c r="AK82" s="2047"/>
    </row>
    <row r="83" spans="1:37" ht="38.25">
      <c r="A83" s="2124" t="s">
        <v>2068</v>
      </c>
      <c r="B83" s="2128" t="str">
        <f>估价对象房地状况!G15</f>
        <v>估价对象位于XX开发区，园区建设成熟度XX，产业集聚程度XX</v>
      </c>
      <c r="C83" s="2038"/>
      <c r="D83" s="1063">
        <f t="shared" ref="D83:D90" si="22">SUMIF($J$82:$N$82,C83,J83:N83)</f>
        <v>0</v>
      </c>
      <c r="E83" s="742">
        <f>ROUND(SUM(D83:D90),4)</f>
        <v>0</v>
      </c>
      <c r="F83" s="1811" t="str">
        <f>IF(E2="工业",SUMIF(L1:L12,G2,N1:N12),"——")</f>
        <v>——</v>
      </c>
      <c r="G83" s="1061"/>
      <c r="H83" s="1064" t="str">
        <f t="shared" ref="H83:H90" si="23">IFERROR(ROUNDDOWN($F$83*I83/2,4),"——")</f>
        <v>——</v>
      </c>
      <c r="I83" s="3358">
        <v>0.26</v>
      </c>
      <c r="J83" s="1062">
        <f t="shared" ref="J83:J90" si="24">K83+$G83</f>
        <v>0</v>
      </c>
      <c r="K83" s="1062">
        <f t="shared" ref="K83:K90" si="25">$L83+$G83</f>
        <v>0</v>
      </c>
      <c r="L83" s="1062">
        <v>0</v>
      </c>
      <c r="M83" s="1062">
        <f t="shared" ref="M83:N90" si="26">L83-$G83</f>
        <v>0</v>
      </c>
      <c r="N83" s="1062">
        <f t="shared" si="26"/>
        <v>0</v>
      </c>
      <c r="Z83" s="1992"/>
      <c r="AA83" s="2047"/>
      <c r="AG83" s="1119"/>
      <c r="AK83" s="2047"/>
    </row>
    <row r="84" spans="1:37" ht="38.25">
      <c r="A84" s="2124" t="s">
        <v>2051</v>
      </c>
      <c r="B84" s="2128" t="str">
        <f>估价对象房地状况!G16</f>
        <v>估价对象周边道路状况、公共交通通达情况、停车便捷程度，综合评价交通便捷度较好</v>
      </c>
      <c r="C84" s="2038"/>
      <c r="D84" s="1063">
        <f t="shared" si="22"/>
        <v>0</v>
      </c>
      <c r="E84" s="745"/>
      <c r="F84" s="1811"/>
      <c r="G84" s="1061"/>
      <c r="H84" s="1064" t="str">
        <f t="shared" si="23"/>
        <v>——</v>
      </c>
      <c r="I84" s="3358">
        <v>0.3</v>
      </c>
      <c r="J84" s="1062">
        <f t="shared" si="24"/>
        <v>0</v>
      </c>
      <c r="K84" s="1062">
        <f t="shared" si="25"/>
        <v>0</v>
      </c>
      <c r="L84" s="1062">
        <v>0</v>
      </c>
      <c r="M84" s="1062">
        <f t="shared" si="26"/>
        <v>0</v>
      </c>
      <c r="N84" s="1062">
        <f t="shared" si="26"/>
        <v>0</v>
      </c>
      <c r="Z84" s="1992"/>
      <c r="AA84" s="2047"/>
      <c r="AG84" s="1119"/>
      <c r="AK84" s="2047"/>
    </row>
    <row r="85" spans="1:37" ht="36">
      <c r="A85" s="3360" t="s">
        <v>3263</v>
      </c>
      <c r="B85" s="2128">
        <f>估价对象房地状况!G17</f>
        <v>0</v>
      </c>
      <c r="C85" s="2038"/>
      <c r="D85" s="1063">
        <f t="shared" si="22"/>
        <v>0</v>
      </c>
      <c r="E85" s="745"/>
      <c r="F85" s="1811"/>
      <c r="G85" s="1061"/>
      <c r="H85" s="1064" t="str">
        <f t="shared" si="23"/>
        <v>——</v>
      </c>
      <c r="I85" s="3358">
        <v>0.1</v>
      </c>
      <c r="J85" s="1062">
        <f t="shared" si="24"/>
        <v>0</v>
      </c>
      <c r="K85" s="1062">
        <f t="shared" si="25"/>
        <v>0</v>
      </c>
      <c r="L85" s="1062">
        <v>0</v>
      </c>
      <c r="M85" s="1062">
        <f t="shared" si="26"/>
        <v>0</v>
      </c>
      <c r="N85" s="1062">
        <f t="shared" si="26"/>
        <v>0</v>
      </c>
      <c r="Z85" s="1992"/>
      <c r="AA85" s="2047"/>
      <c r="AG85" s="1119"/>
      <c r="AK85" s="2047"/>
    </row>
    <row r="86" spans="1:37" ht="14.25">
      <c r="A86" s="2124" t="s">
        <v>2065</v>
      </c>
      <c r="B86" s="2128">
        <f>估价对象房地状况!G22</f>
        <v>0</v>
      </c>
      <c r="C86" s="2038"/>
      <c r="D86" s="1063">
        <f t="shared" si="22"/>
        <v>0</v>
      </c>
      <c r="E86" s="745"/>
      <c r="F86" s="1811"/>
      <c r="G86" s="1061"/>
      <c r="H86" s="1064" t="str">
        <f t="shared" si="23"/>
        <v>——</v>
      </c>
      <c r="I86" s="3358">
        <v>0.05</v>
      </c>
      <c r="J86" s="1062">
        <f t="shared" si="24"/>
        <v>0</v>
      </c>
      <c r="K86" s="1062">
        <f t="shared" si="25"/>
        <v>0</v>
      </c>
      <c r="L86" s="1062">
        <v>0</v>
      </c>
      <c r="M86" s="1062">
        <f t="shared" si="26"/>
        <v>0</v>
      </c>
      <c r="N86" s="1062">
        <f t="shared" si="26"/>
        <v>0</v>
      </c>
      <c r="Z86" s="1992"/>
      <c r="AA86" s="2047"/>
      <c r="AG86" s="1119"/>
      <c r="AK86" s="2047"/>
    </row>
    <row r="87" spans="1:37" ht="25.5">
      <c r="A87" s="2124" t="s">
        <v>2057</v>
      </c>
      <c r="B87" s="1323" t="str">
        <f>估价对象房地状况!G19</f>
        <v>估价对象所在区域公共配套设施齐备情况</v>
      </c>
      <c r="C87" s="2038"/>
      <c r="D87" s="1063">
        <f t="shared" si="22"/>
        <v>0</v>
      </c>
      <c r="E87" s="745"/>
      <c r="F87" s="1811"/>
      <c r="G87" s="1061"/>
      <c r="H87" s="1064" t="str">
        <f t="shared" si="23"/>
        <v>——</v>
      </c>
      <c r="I87" s="3358">
        <v>0.06</v>
      </c>
      <c r="J87" s="1062">
        <f t="shared" si="24"/>
        <v>0</v>
      </c>
      <c r="K87" s="1062">
        <f t="shared" si="25"/>
        <v>0</v>
      </c>
      <c r="L87" s="1062">
        <v>0</v>
      </c>
      <c r="M87" s="1062">
        <f t="shared" si="26"/>
        <v>0</v>
      </c>
      <c r="N87" s="1062">
        <f t="shared" si="26"/>
        <v>0</v>
      </c>
    </row>
    <row r="88" spans="1:37" ht="25.5">
      <c r="A88" s="2124" t="s">
        <v>2058</v>
      </c>
      <c r="B88" s="1323" t="str">
        <f>估价对象房地状况!G20</f>
        <v>估价对象所在区域基础设施水平</v>
      </c>
      <c r="C88" s="2038"/>
      <c r="D88" s="1063">
        <f t="shared" si="22"/>
        <v>0</v>
      </c>
      <c r="E88" s="745"/>
      <c r="F88" s="1811"/>
      <c r="G88" s="1061"/>
      <c r="H88" s="1064" t="str">
        <f t="shared" si="23"/>
        <v>——</v>
      </c>
      <c r="I88" s="3358">
        <v>0.12</v>
      </c>
      <c r="J88" s="1062">
        <f t="shared" si="24"/>
        <v>0</v>
      </c>
      <c r="K88" s="1062">
        <f t="shared" si="25"/>
        <v>0</v>
      </c>
      <c r="L88" s="1062">
        <v>0</v>
      </c>
      <c r="M88" s="1062">
        <f t="shared" si="26"/>
        <v>0</v>
      </c>
      <c r="N88" s="1062">
        <f t="shared" si="26"/>
        <v>0</v>
      </c>
    </row>
    <row r="89" spans="1:37" ht="24">
      <c r="A89" s="2124" t="s">
        <v>2055</v>
      </c>
      <c r="B89" s="2130" t="s">
        <v>2069</v>
      </c>
      <c r="C89" s="2038"/>
      <c r="D89" s="1063">
        <f t="shared" si="22"/>
        <v>0</v>
      </c>
      <c r="E89" s="745"/>
      <c r="F89" s="1811"/>
      <c r="G89" s="1061"/>
      <c r="H89" s="1064" t="str">
        <f t="shared" si="23"/>
        <v>——</v>
      </c>
      <c r="I89" s="3358">
        <v>0.06</v>
      </c>
      <c r="J89" s="1062">
        <f t="shared" si="24"/>
        <v>0</v>
      </c>
      <c r="K89" s="1062">
        <f t="shared" si="25"/>
        <v>0</v>
      </c>
      <c r="L89" s="1062">
        <v>0</v>
      </c>
      <c r="M89" s="1062">
        <f t="shared" si="26"/>
        <v>0</v>
      </c>
      <c r="N89" s="1062">
        <f t="shared" si="26"/>
        <v>0</v>
      </c>
    </row>
    <row r="90" spans="1:37" ht="39" thickBot="1">
      <c r="A90" s="2132" t="s">
        <v>2070</v>
      </c>
      <c r="B90" s="2137" t="str">
        <f>估价对象房地状况!G18</f>
        <v>该园区内是否有污染型企业，绿化情况，卫生条件，整体环境状况判断</v>
      </c>
      <c r="C90" s="2038"/>
      <c r="D90" s="1063">
        <f t="shared" si="22"/>
        <v>0</v>
      </c>
      <c r="E90" s="746"/>
      <c r="F90" s="1811"/>
      <c r="G90" s="1061"/>
      <c r="H90" s="1064" t="str">
        <f t="shared" si="23"/>
        <v>——</v>
      </c>
      <c r="I90" s="3359">
        <v>0.05</v>
      </c>
      <c r="J90" s="1062">
        <f t="shared" si="24"/>
        <v>0</v>
      </c>
      <c r="K90" s="1062">
        <f t="shared" si="25"/>
        <v>0</v>
      </c>
      <c r="L90" s="1062">
        <v>0</v>
      </c>
      <c r="M90" s="1062">
        <f t="shared" si="26"/>
        <v>0</v>
      </c>
      <c r="N90" s="1062">
        <f t="shared" si="26"/>
        <v>0</v>
      </c>
    </row>
    <row r="91" spans="1:37" ht="15">
      <c r="A91" s="3368" t="s">
        <v>2605</v>
      </c>
      <c r="B91" s="3369">
        <f>1+E93</f>
        <v>1</v>
      </c>
      <c r="C91" s="3362"/>
      <c r="D91" s="3363"/>
      <c r="E91" s="1811"/>
      <c r="F91" s="1811"/>
      <c r="G91" s="3364"/>
      <c r="H91" s="3365"/>
      <c r="I91" s="3366"/>
      <c r="J91" s="3367"/>
      <c r="K91" s="3367"/>
      <c r="L91" s="3367"/>
      <c r="M91" s="3367"/>
      <c r="N91" s="3367"/>
    </row>
    <row r="92" spans="1:37" ht="24.75">
      <c r="A92" s="3370" t="s">
        <v>3264</v>
      </c>
      <c r="B92" s="3357"/>
      <c r="C92" s="3357" t="s">
        <v>3273</v>
      </c>
      <c r="D92" s="3357" t="s">
        <v>3274</v>
      </c>
      <c r="E92" s="3339" t="s">
        <v>3275</v>
      </c>
      <c r="F92" s="3372" t="s">
        <v>3276</v>
      </c>
      <c r="G92" s="3357" t="s">
        <v>3277</v>
      </c>
      <c r="H92" s="3379" t="s">
        <v>3280</v>
      </c>
      <c r="I92" s="3357" t="s">
        <v>3281</v>
      </c>
      <c r="J92" s="3380" t="s">
        <v>3282</v>
      </c>
      <c r="K92" s="3380" t="s">
        <v>3283</v>
      </c>
      <c r="L92" s="3380" t="s">
        <v>3284</v>
      </c>
      <c r="M92" s="3380" t="s">
        <v>3285</v>
      </c>
      <c r="N92" s="3380" t="s">
        <v>3286</v>
      </c>
    </row>
    <row r="93" spans="1:37" ht="24">
      <c r="A93" s="3360" t="s">
        <v>3265</v>
      </c>
      <c r="B93" s="1303"/>
      <c r="C93" s="2038"/>
      <c r="D93" s="3357">
        <f>SUMIF($J$92:$N$92,C93,J93:N93)</f>
        <v>0</v>
      </c>
      <c r="E93" s="3373">
        <f>ROUND(SUM(D93:D101),4)</f>
        <v>0</v>
      </c>
      <c r="F93" s="1811"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3266</v>
      </c>
      <c r="B94" s="3361" t="str">
        <f>估价对象房地状况!C18</f>
        <v>一般</v>
      </c>
      <c r="C94" s="2038"/>
      <c r="D94" s="3357">
        <f t="shared" ref="D94:D101" si="30">SUMIF($J$60:$N$60,C94,J94:N94)</f>
        <v>0</v>
      </c>
      <c r="E94" s="3374"/>
      <c r="F94" s="1811"/>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3262</v>
      </c>
      <c r="B95" s="3361">
        <f>估价对象房地状况!C19</f>
        <v>0</v>
      </c>
      <c r="C95" s="2038"/>
      <c r="D95" s="3357">
        <f t="shared" si="30"/>
        <v>0</v>
      </c>
      <c r="E95" s="3374"/>
      <c r="F95" s="1811"/>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3267</v>
      </c>
      <c r="B96" s="3376" t="s">
        <v>3278</v>
      </c>
      <c r="C96" s="2038"/>
      <c r="D96" s="3357">
        <f t="shared" si="30"/>
        <v>0</v>
      </c>
      <c r="E96" s="3374"/>
      <c r="F96" s="1811"/>
      <c r="G96" s="3364"/>
      <c r="H96" s="3412" t="str">
        <f t="shared" si="31"/>
        <v>——</v>
      </c>
      <c r="I96" s="3358">
        <v>0.05</v>
      </c>
      <c r="J96" s="3336">
        <f t="shared" si="27"/>
        <v>0</v>
      </c>
      <c r="K96" s="3336">
        <f t="shared" si="28"/>
        <v>0</v>
      </c>
      <c r="L96" s="3336">
        <v>0</v>
      </c>
      <c r="M96" s="3336">
        <f t="shared" si="29"/>
        <v>0</v>
      </c>
      <c r="N96" s="3336">
        <f t="shared" si="29"/>
        <v>0</v>
      </c>
    </row>
    <row r="97" spans="1:14" ht="24">
      <c r="A97" s="3370" t="s">
        <v>3268</v>
      </c>
      <c r="B97" s="3361">
        <f>估价对象房地状况!C24</f>
        <v>0</v>
      </c>
      <c r="C97" s="2038"/>
      <c r="D97" s="3357">
        <f t="shared" si="30"/>
        <v>0</v>
      </c>
      <c r="E97" s="3374"/>
      <c r="F97" s="1811"/>
      <c r="G97" s="3364"/>
      <c r="H97" s="3412" t="str">
        <f t="shared" si="31"/>
        <v>——</v>
      </c>
      <c r="I97" s="3358">
        <v>0.05</v>
      </c>
      <c r="J97" s="3336">
        <f t="shared" si="27"/>
        <v>0</v>
      </c>
      <c r="K97" s="3336">
        <f t="shared" si="28"/>
        <v>0</v>
      </c>
      <c r="L97" s="3336">
        <v>0</v>
      </c>
      <c r="M97" s="3336">
        <f t="shared" si="29"/>
        <v>0</v>
      </c>
      <c r="N97" s="3336">
        <f t="shared" si="29"/>
        <v>0</v>
      </c>
    </row>
    <row r="98" spans="1:14" ht="24">
      <c r="A98" s="3370" t="s">
        <v>3269</v>
      </c>
      <c r="B98" s="3377" t="s">
        <v>3279</v>
      </c>
      <c r="C98" s="2038"/>
      <c r="D98" s="3357">
        <f t="shared" si="30"/>
        <v>0</v>
      </c>
      <c r="E98" s="3374"/>
      <c r="F98" s="1811"/>
      <c r="G98" s="3364"/>
      <c r="H98" s="3412" t="str">
        <f t="shared" si="31"/>
        <v>——</v>
      </c>
      <c r="I98" s="3358">
        <v>0.06</v>
      </c>
      <c r="J98" s="3336">
        <f t="shared" si="27"/>
        <v>0</v>
      </c>
      <c r="K98" s="3336">
        <f t="shared" si="28"/>
        <v>0</v>
      </c>
      <c r="L98" s="3336">
        <v>0</v>
      </c>
      <c r="M98" s="3336">
        <f t="shared" si="29"/>
        <v>0</v>
      </c>
      <c r="N98" s="3336">
        <f t="shared" si="29"/>
        <v>0</v>
      </c>
    </row>
    <row r="99" spans="1:14" ht="24">
      <c r="A99" s="3370" t="s">
        <v>3270</v>
      </c>
      <c r="B99" s="3361" t="str">
        <f>估价对象房地状况!C21</f>
        <v>一般</v>
      </c>
      <c r="C99" s="2038"/>
      <c r="D99" s="3357">
        <f t="shared" si="30"/>
        <v>0</v>
      </c>
      <c r="E99" s="3374"/>
      <c r="F99" s="1811"/>
      <c r="G99" s="3364"/>
      <c r="H99" s="3412" t="str">
        <f t="shared" si="31"/>
        <v>——</v>
      </c>
      <c r="I99" s="3358">
        <v>0.06</v>
      </c>
      <c r="J99" s="3336">
        <f t="shared" si="27"/>
        <v>0</v>
      </c>
      <c r="K99" s="3336">
        <f t="shared" si="28"/>
        <v>0</v>
      </c>
      <c r="L99" s="3336">
        <v>0</v>
      </c>
      <c r="M99" s="3336">
        <f t="shared" si="29"/>
        <v>0</v>
      </c>
      <c r="N99" s="3336">
        <f t="shared" si="29"/>
        <v>0</v>
      </c>
    </row>
    <row r="100" spans="1:14" ht="24">
      <c r="A100" s="3370" t="s">
        <v>3271</v>
      </c>
      <c r="B100" s="3361" t="str">
        <f>估价对象房地状况!C22</f>
        <v>六通</v>
      </c>
      <c r="C100" s="2038"/>
      <c r="D100" s="3357">
        <f t="shared" si="30"/>
        <v>0</v>
      </c>
      <c r="E100" s="3374"/>
      <c r="F100" s="1811"/>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3272</v>
      </c>
      <c r="B101" s="3378" t="str">
        <f>估价对象房地状况!C20</f>
        <v>较好</v>
      </c>
      <c r="C101" s="2038"/>
      <c r="D101" s="3357">
        <f t="shared" si="30"/>
        <v>0</v>
      </c>
      <c r="E101" s="3375"/>
      <c r="F101" s="1811"/>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75" t="s">
        <v>3287</v>
      </c>
      <c r="B103" s="3775"/>
      <c r="C103" s="3775"/>
      <c r="D103" s="3775"/>
      <c r="E103" s="3775"/>
      <c r="F103" s="3775"/>
      <c r="G103" s="3775"/>
      <c r="H103" s="3775"/>
      <c r="I103" s="3775"/>
      <c r="J103" s="3775"/>
      <c r="K103" s="3381"/>
      <c r="L103" s="3381"/>
      <c r="M103" s="3381"/>
      <c r="N103" s="3381"/>
    </row>
    <row r="104" spans="1:14">
      <c r="A104" s="3776" t="s">
        <v>3288</v>
      </c>
      <c r="B104" s="3776" t="s">
        <v>3289</v>
      </c>
      <c r="C104" s="3382" t="s">
        <v>3290</v>
      </c>
      <c r="D104" s="3383"/>
      <c r="E104" s="3383"/>
      <c r="F104" s="3383"/>
      <c r="G104" s="3383"/>
      <c r="H104" s="3383"/>
      <c r="I104" s="3383"/>
      <c r="J104" s="3384"/>
      <c r="K104" s="3385"/>
      <c r="L104" s="3385"/>
      <c r="M104" s="3385"/>
      <c r="N104" s="3385"/>
    </row>
    <row r="105" spans="1:14">
      <c r="A105" s="3776"/>
      <c r="B105" s="3776"/>
      <c r="C105" s="3386" t="s">
        <v>3291</v>
      </c>
      <c r="D105" s="3386" t="s">
        <v>3292</v>
      </c>
      <c r="E105" s="3386" t="s">
        <v>3293</v>
      </c>
      <c r="F105" s="3386" t="s">
        <v>3294</v>
      </c>
      <c r="G105" s="3386" t="s">
        <v>3295</v>
      </c>
      <c r="H105" s="3386" t="s">
        <v>3296</v>
      </c>
      <c r="I105" s="3386" t="s">
        <v>3297</v>
      </c>
      <c r="J105" s="3386" t="s">
        <v>3298</v>
      </c>
      <c r="K105" s="3386" t="s">
        <v>3299</v>
      </c>
      <c r="L105" s="3386" t="s">
        <v>3300</v>
      </c>
      <c r="M105" s="3386" t="s">
        <v>3301</v>
      </c>
      <c r="N105" s="3386" t="s">
        <v>3302</v>
      </c>
    </row>
    <row r="106" spans="1:14">
      <c r="A106" s="3762" t="s">
        <v>3303</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63"/>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63"/>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63"/>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63"/>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63"/>
      <c r="B111" s="3386" t="s">
        <v>3261</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764"/>
      <c r="B112" s="3386">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765" t="s">
        <v>3304</v>
      </c>
      <c r="B113" s="3765"/>
      <c r="C113" s="3765"/>
      <c r="D113" s="3765"/>
      <c r="E113" s="3765"/>
      <c r="F113" s="3765"/>
      <c r="G113" s="3765"/>
      <c r="H113" s="3765"/>
      <c r="I113" s="3765"/>
      <c r="J113" s="3765"/>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3305</v>
      </c>
      <c r="B116" s="3407">
        <f>G3</f>
        <v>0</v>
      </c>
      <c r="C116" s="3391" t="s">
        <v>3306</v>
      </c>
      <c r="D116" s="3392">
        <f>SUMPRODUCT((A118:A122=F116)*(B117:M117=H116)*B118:M122)</f>
        <v>0</v>
      </c>
      <c r="E116" s="1994" t="s">
        <v>3307</v>
      </c>
      <c r="F116" s="3393">
        <f>E2</f>
        <v>0</v>
      </c>
      <c r="G116" s="1994" t="s">
        <v>3308</v>
      </c>
      <c r="H116" s="3393" t="str">
        <f>G2</f>
        <v>六级</v>
      </c>
      <c r="I116" s="1994"/>
      <c r="J116" s="3394"/>
      <c r="K116" s="3394"/>
      <c r="L116" s="3394"/>
      <c r="M116" s="3394"/>
      <c r="N116" s="3389"/>
    </row>
    <row r="117" spans="1:14">
      <c r="A117" s="3395"/>
      <c r="B117" s="3396" t="s">
        <v>3309</v>
      </c>
      <c r="C117" s="3396" t="s">
        <v>3310</v>
      </c>
      <c r="D117" s="3396" t="s">
        <v>3311</v>
      </c>
      <c r="E117" s="3397" t="s">
        <v>3312</v>
      </c>
      <c r="F117" s="3397" t="s">
        <v>3313</v>
      </c>
      <c r="G117" s="3397" t="s">
        <v>3314</v>
      </c>
      <c r="H117" s="3398" t="s">
        <v>3315</v>
      </c>
      <c r="I117" s="3398" t="s">
        <v>3316</v>
      </c>
      <c r="J117" s="3399" t="s">
        <v>3317</v>
      </c>
      <c r="K117" s="3399" t="s">
        <v>3318</v>
      </c>
      <c r="L117" s="3399" t="s">
        <v>3319</v>
      </c>
      <c r="M117" s="3400" t="s">
        <v>3320</v>
      </c>
      <c r="N117" s="3389"/>
    </row>
    <row r="118" spans="1:14">
      <c r="A118" s="3401" t="s">
        <v>3321</v>
      </c>
      <c r="B118" s="3379">
        <f>ROUND(0.9968-0.011*B116,4)</f>
        <v>0.99680000000000002</v>
      </c>
      <c r="C118" s="3379">
        <f>B118</f>
        <v>0.99680000000000002</v>
      </c>
      <c r="D118" s="3379">
        <f>ROUND(0.949-0.014*B116,4)</f>
        <v>0.94899999999999995</v>
      </c>
      <c r="E118" s="3379">
        <f>D118</f>
        <v>0.94899999999999995</v>
      </c>
      <c r="F118" s="3379">
        <f>E118</f>
        <v>0.94899999999999995</v>
      </c>
      <c r="G118" s="3379">
        <f>F118</f>
        <v>0.94899999999999995</v>
      </c>
      <c r="H118" s="3379">
        <f>G118</f>
        <v>0.94899999999999995</v>
      </c>
      <c r="I118" s="3379">
        <f>ROUND(0.8486-0.018*B116,4)</f>
        <v>0.84860000000000002</v>
      </c>
      <c r="J118" s="3379">
        <f t="shared" ref="J118:M122" si="35">I118</f>
        <v>0.84860000000000002</v>
      </c>
      <c r="K118" s="3379">
        <f t="shared" si="35"/>
        <v>0.84860000000000002</v>
      </c>
      <c r="L118" s="3379">
        <f t="shared" si="35"/>
        <v>0.84860000000000002</v>
      </c>
      <c r="M118" s="3402">
        <f t="shared" si="35"/>
        <v>0.84860000000000002</v>
      </c>
      <c r="N118" s="3389"/>
    </row>
    <row r="119" spans="1:14">
      <c r="A119" s="3401" t="s">
        <v>3322</v>
      </c>
      <c r="B119" s="3379">
        <f>ROUND(0.993-0.0112*B116,4)</f>
        <v>0.99299999999999999</v>
      </c>
      <c r="C119" s="3379">
        <f>B119</f>
        <v>0.99299999999999999</v>
      </c>
      <c r="D119" s="3379">
        <f>ROUND(0.9415-0.0142*B116,4)</f>
        <v>0.9415</v>
      </c>
      <c r="E119" s="3379">
        <f t="shared" ref="E119:H120" si="36">D119</f>
        <v>0.9415</v>
      </c>
      <c r="F119" s="3379">
        <f t="shared" si="36"/>
        <v>0.9415</v>
      </c>
      <c r="G119" s="3379">
        <f t="shared" si="36"/>
        <v>0.9415</v>
      </c>
      <c r="H119" s="3379">
        <f t="shared" si="36"/>
        <v>0.9415</v>
      </c>
      <c r="I119" s="3379">
        <f>ROUND(0.838-0.0182*B116,4)</f>
        <v>0.83799999999999997</v>
      </c>
      <c r="J119" s="3379">
        <f t="shared" si="35"/>
        <v>0.83799999999999997</v>
      </c>
      <c r="K119" s="3379">
        <f t="shared" si="35"/>
        <v>0.83799999999999997</v>
      </c>
      <c r="L119" s="3379">
        <f t="shared" si="35"/>
        <v>0.83799999999999997</v>
      </c>
      <c r="M119" s="3402">
        <f t="shared" si="35"/>
        <v>0.83799999999999997</v>
      </c>
      <c r="N119" s="3389"/>
    </row>
    <row r="120" spans="1:14">
      <c r="A120" s="3401" t="s">
        <v>3323</v>
      </c>
      <c r="B120" s="3379">
        <f>ROUND(0.9448-0.0115*B116,4)</f>
        <v>0.94479999999999997</v>
      </c>
      <c r="C120" s="3379">
        <f>B120</f>
        <v>0.94479999999999997</v>
      </c>
      <c r="D120" s="3379">
        <f>ROUND(0.937-0.0145*B116,4)</f>
        <v>0.93700000000000006</v>
      </c>
      <c r="E120" s="3379">
        <f t="shared" si="36"/>
        <v>0.93700000000000006</v>
      </c>
      <c r="F120" s="3379">
        <f t="shared" si="36"/>
        <v>0.93700000000000006</v>
      </c>
      <c r="G120" s="3379">
        <f t="shared" si="36"/>
        <v>0.93700000000000006</v>
      </c>
      <c r="H120" s="3379">
        <f t="shared" si="36"/>
        <v>0.93700000000000006</v>
      </c>
      <c r="I120" s="3379">
        <f>ROUND(0.7965-0.0185*B116,4)</f>
        <v>0.79649999999999999</v>
      </c>
      <c r="J120" s="3379">
        <f t="shared" si="35"/>
        <v>0.79649999999999999</v>
      </c>
      <c r="K120" s="3379">
        <f t="shared" si="35"/>
        <v>0.79649999999999999</v>
      </c>
      <c r="L120" s="3379">
        <f t="shared" si="35"/>
        <v>0.79649999999999999</v>
      </c>
      <c r="M120" s="3402">
        <f t="shared" si="35"/>
        <v>0.79649999999999999</v>
      </c>
      <c r="N120" s="3389"/>
    </row>
    <row r="121" spans="1:14" ht="13.5" thickBot="1">
      <c r="A121" s="3403" t="s">
        <v>3324</v>
      </c>
      <c r="B121" s="3404">
        <f>ROUND(0.7836-0.012*B116,4)</f>
        <v>0.78359999999999996</v>
      </c>
      <c r="C121" s="3404">
        <f>B121</f>
        <v>0.78359999999999996</v>
      </c>
      <c r="D121" s="3404">
        <f>ROUND(0.753-0.015*B116,4)</f>
        <v>0.753</v>
      </c>
      <c r="E121" s="3404">
        <f>D121</f>
        <v>0.753</v>
      </c>
      <c r="F121" s="3404">
        <f>E121</f>
        <v>0.753</v>
      </c>
      <c r="G121" s="3404">
        <f>ROUND(0.6612-0.018*B116,4)</f>
        <v>0.66120000000000001</v>
      </c>
      <c r="H121" s="3404">
        <f>G121</f>
        <v>0.66120000000000001</v>
      </c>
      <c r="I121" s="3404">
        <f>ROUND(0.5905-0.019*B116,4)</f>
        <v>0.59050000000000002</v>
      </c>
      <c r="J121" s="3404">
        <f t="shared" si="35"/>
        <v>0.59050000000000002</v>
      </c>
      <c r="K121" s="3404">
        <f t="shared" si="35"/>
        <v>0.59050000000000002</v>
      </c>
      <c r="L121" s="3404">
        <f t="shared" si="35"/>
        <v>0.59050000000000002</v>
      </c>
      <c r="M121" s="3405">
        <f t="shared" si="35"/>
        <v>0.59050000000000002</v>
      </c>
      <c r="N121" s="3389"/>
    </row>
    <row r="122" spans="1:14">
      <c r="A122" s="3406" t="s">
        <v>2605</v>
      </c>
      <c r="B122" s="3379">
        <f>ROUND(0.9404-0.0106*B116,4)</f>
        <v>0.94040000000000001</v>
      </c>
      <c r="C122" s="3379">
        <f>B122</f>
        <v>0.94040000000000001</v>
      </c>
      <c r="D122" s="3379">
        <f>ROUND(0.8955-0.0135*B116,4)</f>
        <v>0.89549999999999996</v>
      </c>
      <c r="E122" s="3379">
        <f t="shared" ref="E122:H122" si="37">D122</f>
        <v>0.89549999999999996</v>
      </c>
      <c r="F122" s="3379">
        <f t="shared" si="37"/>
        <v>0.89549999999999996</v>
      </c>
      <c r="G122" s="3379">
        <f t="shared" si="37"/>
        <v>0.89549999999999996</v>
      </c>
      <c r="H122" s="3379">
        <f t="shared" si="37"/>
        <v>0.89549999999999996</v>
      </c>
      <c r="I122" s="3379">
        <f>ROUND(0.7632-0.0166*B116,4)</f>
        <v>0.76319999999999999</v>
      </c>
      <c r="J122" s="3379">
        <f t="shared" si="35"/>
        <v>0.76319999999999999</v>
      </c>
      <c r="K122" s="3379">
        <f t="shared" si="35"/>
        <v>0.76319999999999999</v>
      </c>
      <c r="L122" s="3379">
        <f t="shared" si="35"/>
        <v>0.76319999999999999</v>
      </c>
      <c r="M122" s="3402">
        <f t="shared" si="35"/>
        <v>0.76319999999999999</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2587</v>
      </c>
      <c r="B1" s="3063" t="s">
        <v>2588</v>
      </c>
      <c r="C1" s="3063" t="s">
        <v>2589</v>
      </c>
      <c r="D1" s="3063" t="s">
        <v>2590</v>
      </c>
      <c r="E1" s="3063" t="s">
        <v>2591</v>
      </c>
      <c r="F1" s="3063" t="s">
        <v>2592</v>
      </c>
      <c r="G1" s="3063" t="s">
        <v>2593</v>
      </c>
      <c r="H1" s="3063" t="s">
        <v>2594</v>
      </c>
      <c r="I1" s="3063" t="s">
        <v>2595</v>
      </c>
      <c r="J1" s="3063" t="s">
        <v>2596</v>
      </c>
      <c r="K1" s="3063" t="s">
        <v>2597</v>
      </c>
      <c r="L1" s="3063" t="s">
        <v>2598</v>
      </c>
      <c r="M1" s="3064" t="s">
        <v>2599</v>
      </c>
    </row>
    <row r="2" spans="1:13" ht="19.5" customHeight="1">
      <c r="A2" s="3066" t="s">
        <v>2600</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2601</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2602</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2603</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2604</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2605</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2606</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2607</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2608</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2609</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2610</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2611</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2612</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2613</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2614</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2615</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2616</v>
      </c>
      <c r="B18" s="3088"/>
      <c r="C18" s="3089"/>
      <c r="D18" s="3089"/>
      <c r="E18" s="3088"/>
      <c r="F18" s="3089"/>
      <c r="G18" s="3089"/>
    </row>
    <row r="19" spans="1:13" ht="19.5" customHeight="1" thickBot="1">
      <c r="A19" s="3086" t="s">
        <v>2617</v>
      </c>
      <c r="B19" s="3091" t="s">
        <v>2618</v>
      </c>
      <c r="C19" s="3091" t="s">
        <v>2619</v>
      </c>
      <c r="D19" s="3092"/>
      <c r="E19" s="3086" t="s">
        <v>2620</v>
      </c>
      <c r="F19" s="3093"/>
      <c r="G19" s="3093"/>
    </row>
    <row r="20" spans="1:13" ht="19.5" customHeight="1">
      <c r="A20" s="3790" t="s">
        <v>2600</v>
      </c>
      <c r="B20" s="3785" t="s">
        <v>2621</v>
      </c>
      <c r="C20" s="3094" t="s">
        <v>2432</v>
      </c>
      <c r="D20" s="3095"/>
      <c r="E20" s="3096">
        <v>1</v>
      </c>
      <c r="F20" s="3097" t="s">
        <v>2433</v>
      </c>
      <c r="G20" s="3097"/>
    </row>
    <row r="21" spans="1:13" ht="19.5" customHeight="1">
      <c r="A21" s="3791"/>
      <c r="B21" s="3784"/>
      <c r="C21" s="3098" t="s">
        <v>2434</v>
      </c>
      <c r="D21" s="3099"/>
      <c r="E21" s="3100">
        <v>1</v>
      </c>
      <c r="F21" s="3097" t="s">
        <v>2435</v>
      </c>
      <c r="G21" s="3097"/>
    </row>
    <row r="22" spans="1:13" ht="19.5" customHeight="1">
      <c r="A22" s="3791"/>
      <c r="B22" s="3784"/>
      <c r="C22" s="3098" t="s">
        <v>2436</v>
      </c>
      <c r="D22" s="3099"/>
      <c r="E22" s="3100">
        <v>0.9</v>
      </c>
      <c r="F22" s="3097" t="s">
        <v>2437</v>
      </c>
      <c r="G22" s="3097"/>
    </row>
    <row r="23" spans="1:13" ht="19.5" customHeight="1">
      <c r="A23" s="3791"/>
      <c r="B23" s="3784"/>
      <c r="C23" s="3098" t="s">
        <v>2438</v>
      </c>
      <c r="D23" s="3099"/>
      <c r="E23" s="3100">
        <v>0.9</v>
      </c>
      <c r="F23" s="3097" t="s">
        <v>2439</v>
      </c>
      <c r="G23" s="3097"/>
    </row>
    <row r="24" spans="1:13" ht="19.5" customHeight="1">
      <c r="A24" s="3791"/>
      <c r="B24" s="3784"/>
      <c r="C24" s="3098" t="s">
        <v>2440</v>
      </c>
      <c r="D24" s="3099"/>
      <c r="E24" s="3100">
        <v>0.8</v>
      </c>
      <c r="F24" s="3097" t="s">
        <v>2441</v>
      </c>
      <c r="G24" s="3097"/>
    </row>
    <row r="25" spans="1:13" ht="19.5" customHeight="1" thickBot="1">
      <c r="A25" s="3792"/>
      <c r="B25" s="3786"/>
      <c r="C25" s="3101" t="s">
        <v>2442</v>
      </c>
      <c r="D25" s="3102"/>
      <c r="E25" s="3103">
        <v>0.8</v>
      </c>
      <c r="F25" s="3097" t="s">
        <v>2443</v>
      </c>
      <c r="G25" s="3097"/>
    </row>
    <row r="26" spans="1:13" ht="19.5" customHeight="1" thickBot="1">
      <c r="A26" s="3104" t="s">
        <v>2622</v>
      </c>
      <c r="B26" s="3105" t="s">
        <v>2621</v>
      </c>
      <c r="C26" s="3106" t="s">
        <v>2623</v>
      </c>
      <c r="D26" s="3107"/>
      <c r="E26" s="3108">
        <v>1</v>
      </c>
      <c r="F26" s="3097" t="s">
        <v>2444</v>
      </c>
      <c r="G26" s="3097"/>
    </row>
    <row r="27" spans="1:13" ht="19.5" customHeight="1">
      <c r="A27" s="3787" t="s">
        <v>2624</v>
      </c>
      <c r="B27" s="3785" t="s">
        <v>2605</v>
      </c>
      <c r="C27" s="3094" t="s">
        <v>2445</v>
      </c>
      <c r="D27" s="3095"/>
      <c r="E27" s="3096">
        <v>1</v>
      </c>
      <c r="F27" s="3097" t="s">
        <v>2446</v>
      </c>
      <c r="G27" s="3097"/>
    </row>
    <row r="28" spans="1:13" ht="19.5" customHeight="1">
      <c r="A28" s="3788"/>
      <c r="B28" s="3784"/>
      <c r="C28" s="3098" t="s">
        <v>2447</v>
      </c>
      <c r="D28" s="3099"/>
      <c r="E28" s="3100">
        <v>1</v>
      </c>
      <c r="F28" s="3097" t="s">
        <v>2448</v>
      </c>
      <c r="G28" s="3097"/>
    </row>
    <row r="29" spans="1:13" ht="19.5" customHeight="1">
      <c r="A29" s="3788"/>
      <c r="B29" s="3784"/>
      <c r="C29" s="3098" t="s">
        <v>2449</v>
      </c>
      <c r="D29" s="3099"/>
      <c r="E29" s="3100">
        <v>0.8</v>
      </c>
      <c r="F29" s="3097" t="s">
        <v>2450</v>
      </c>
      <c r="G29" s="3097"/>
    </row>
    <row r="30" spans="1:13" ht="19.5" customHeight="1">
      <c r="A30" s="3788"/>
      <c r="B30" s="3784"/>
      <c r="C30" s="3098" t="s">
        <v>2451</v>
      </c>
      <c r="D30" s="3099"/>
      <c r="E30" s="3100">
        <v>0.8</v>
      </c>
      <c r="F30" s="3097" t="s">
        <v>2452</v>
      </c>
      <c r="G30" s="3097"/>
    </row>
    <row r="31" spans="1:13" ht="19.5" customHeight="1">
      <c r="A31" s="3788"/>
      <c r="B31" s="3784"/>
      <c r="C31" s="3098" t="s">
        <v>2453</v>
      </c>
      <c r="D31" s="3099"/>
      <c r="E31" s="3100">
        <v>0.8</v>
      </c>
      <c r="F31" s="3097" t="s">
        <v>2454</v>
      </c>
      <c r="G31" s="3097"/>
    </row>
    <row r="32" spans="1:13" ht="19.5" customHeight="1">
      <c r="A32" s="3788"/>
      <c r="B32" s="3784"/>
      <c r="C32" s="3098" t="s">
        <v>2455</v>
      </c>
      <c r="D32" s="3099"/>
      <c r="E32" s="3100">
        <v>0.7</v>
      </c>
      <c r="F32" s="3097" t="s">
        <v>2456</v>
      </c>
      <c r="G32" s="3097"/>
    </row>
    <row r="33" spans="1:7" ht="19.5" customHeight="1">
      <c r="A33" s="3788"/>
      <c r="B33" s="3784"/>
      <c r="C33" s="3098" t="s">
        <v>2457</v>
      </c>
      <c r="D33" s="3099"/>
      <c r="E33" s="3100">
        <v>0.8</v>
      </c>
      <c r="F33" s="3097" t="s">
        <v>2458</v>
      </c>
      <c r="G33" s="3097"/>
    </row>
    <row r="34" spans="1:7" ht="19.5" customHeight="1">
      <c r="A34" s="3788"/>
      <c r="B34" s="3784"/>
      <c r="C34" s="3098" t="s">
        <v>2459</v>
      </c>
      <c r="D34" s="3099"/>
      <c r="E34" s="3100">
        <v>0.6</v>
      </c>
      <c r="F34" s="3097" t="s">
        <v>2460</v>
      </c>
      <c r="G34" s="3097"/>
    </row>
    <row r="35" spans="1:7" ht="19.5" customHeight="1">
      <c r="A35" s="3788"/>
      <c r="B35" s="3784"/>
      <c r="C35" s="3098" t="s">
        <v>2461</v>
      </c>
      <c r="D35" s="3099"/>
      <c r="E35" s="3100">
        <v>0.2</v>
      </c>
      <c r="F35" s="3097" t="s">
        <v>2462</v>
      </c>
      <c r="G35" s="3097"/>
    </row>
    <row r="36" spans="1:7" ht="19.5" customHeight="1">
      <c r="A36" s="3788"/>
      <c r="B36" s="3784"/>
      <c r="C36" s="3098" t="s">
        <v>2463</v>
      </c>
      <c r="D36" s="3099"/>
      <c r="E36" s="3100">
        <v>0.2</v>
      </c>
      <c r="F36" s="3097" t="s">
        <v>2464</v>
      </c>
      <c r="G36" s="3097"/>
    </row>
    <row r="37" spans="1:7" ht="19.5" customHeight="1">
      <c r="A37" s="3788"/>
      <c r="B37" s="3782" t="s">
        <v>2625</v>
      </c>
      <c r="C37" s="3098" t="s">
        <v>2465</v>
      </c>
      <c r="D37" s="3099"/>
      <c r="E37" s="3100">
        <v>0.6</v>
      </c>
      <c r="F37" s="3097" t="s">
        <v>2466</v>
      </c>
      <c r="G37" s="3097"/>
    </row>
    <row r="38" spans="1:7" ht="19.5" customHeight="1">
      <c r="A38" s="3788"/>
      <c r="B38" s="3784"/>
      <c r="C38" s="3098" t="s">
        <v>2467</v>
      </c>
      <c r="D38" s="3099"/>
      <c r="E38" s="3100">
        <v>0.6</v>
      </c>
      <c r="F38" s="3097" t="s">
        <v>2468</v>
      </c>
      <c r="G38" s="3097"/>
    </row>
    <row r="39" spans="1:7" ht="19.5" customHeight="1" thickBot="1">
      <c r="A39" s="3789"/>
      <c r="B39" s="3786"/>
      <c r="C39" s="3101" t="s">
        <v>2469</v>
      </c>
      <c r="D39" s="3102"/>
      <c r="E39" s="3103">
        <v>0.6</v>
      </c>
      <c r="F39" s="3097" t="s">
        <v>2470</v>
      </c>
      <c r="G39" s="3097"/>
    </row>
    <row r="40" spans="1:7" ht="19.5" customHeight="1" thickBot="1">
      <c r="A40" s="3104" t="s">
        <v>2602</v>
      </c>
      <c r="B40" s="3105" t="s">
        <v>2602</v>
      </c>
      <c r="C40" s="3106" t="s">
        <v>2626</v>
      </c>
      <c r="D40" s="3107"/>
      <c r="E40" s="3108">
        <v>1</v>
      </c>
      <c r="F40" s="3097" t="s">
        <v>2471</v>
      </c>
      <c r="G40" s="3097"/>
    </row>
    <row r="41" spans="1:7" ht="19.5" customHeight="1">
      <c r="A41" s="3790" t="s">
        <v>2603</v>
      </c>
      <c r="B41" s="3785" t="s">
        <v>2627</v>
      </c>
      <c r="C41" s="3094" t="s">
        <v>2472</v>
      </c>
      <c r="D41" s="3095"/>
      <c r="E41" s="3096">
        <v>1</v>
      </c>
      <c r="F41" s="3097" t="s">
        <v>2473</v>
      </c>
      <c r="G41" s="3097"/>
    </row>
    <row r="42" spans="1:7" ht="19.5" customHeight="1">
      <c r="A42" s="3791"/>
      <c r="B42" s="3784"/>
      <c r="C42" s="3098" t="s">
        <v>2474</v>
      </c>
      <c r="D42" s="3099"/>
      <c r="E42" s="3100">
        <v>1</v>
      </c>
      <c r="F42" s="3097" t="s">
        <v>2475</v>
      </c>
      <c r="G42" s="3097"/>
    </row>
    <row r="43" spans="1:7" ht="19.5" customHeight="1">
      <c r="A43" s="3791"/>
      <c r="B43" s="3783"/>
      <c r="C43" s="3098" t="s">
        <v>2476</v>
      </c>
      <c r="D43" s="3099"/>
      <c r="E43" s="3100">
        <v>1.5</v>
      </c>
      <c r="F43" s="3097" t="s">
        <v>2477</v>
      </c>
      <c r="G43" s="3097"/>
    </row>
    <row r="44" spans="1:7" ht="19.5" customHeight="1">
      <c r="A44" s="3791"/>
      <c r="B44" s="3109" t="s">
        <v>2628</v>
      </c>
      <c r="C44" s="3098" t="s">
        <v>2629</v>
      </c>
      <c r="D44" s="3099"/>
      <c r="E44" s="3100">
        <v>2</v>
      </c>
      <c r="F44" s="3097" t="s">
        <v>2478</v>
      </c>
      <c r="G44" s="3097"/>
    </row>
    <row r="45" spans="1:7" ht="19.5" customHeight="1">
      <c r="A45" s="3791"/>
      <c r="B45" s="3782" t="s">
        <v>2630</v>
      </c>
      <c r="C45" s="3098" t="s">
        <v>2479</v>
      </c>
      <c r="D45" s="3099"/>
      <c r="E45" s="3100">
        <v>1</v>
      </c>
      <c r="F45" s="3097" t="s">
        <v>2480</v>
      </c>
      <c r="G45" s="3097"/>
    </row>
    <row r="46" spans="1:7" ht="19.5" customHeight="1">
      <c r="A46" s="3791"/>
      <c r="B46" s="3784"/>
      <c r="C46" s="3098" t="s">
        <v>2481</v>
      </c>
      <c r="D46" s="3099"/>
      <c r="E46" s="3100">
        <v>1</v>
      </c>
      <c r="F46" s="3097" t="s">
        <v>2482</v>
      </c>
      <c r="G46" s="3097"/>
    </row>
    <row r="47" spans="1:7" ht="19.5" customHeight="1">
      <c r="A47" s="3791"/>
      <c r="B47" s="3784"/>
      <c r="C47" s="3098" t="s">
        <v>2483</v>
      </c>
      <c r="D47" s="3099"/>
      <c r="E47" s="3100">
        <v>1</v>
      </c>
      <c r="F47" s="3097" t="s">
        <v>2484</v>
      </c>
      <c r="G47" s="3097"/>
    </row>
    <row r="48" spans="1:7" ht="19.5" customHeight="1">
      <c r="A48" s="3791"/>
      <c r="B48" s="3784"/>
      <c r="C48" s="3098" t="s">
        <v>2485</v>
      </c>
      <c r="D48" s="3099"/>
      <c r="E48" s="3100">
        <v>1</v>
      </c>
      <c r="F48" s="3097" t="s">
        <v>2486</v>
      </c>
      <c r="G48" s="3097"/>
    </row>
    <row r="49" spans="1:7" ht="19.5" customHeight="1">
      <c r="A49" s="3791"/>
      <c r="B49" s="3784"/>
      <c r="C49" s="3098" t="s">
        <v>2487</v>
      </c>
      <c r="D49" s="3099"/>
      <c r="E49" s="3100">
        <v>1</v>
      </c>
      <c r="F49" s="3097" t="s">
        <v>2488</v>
      </c>
      <c r="G49" s="3097"/>
    </row>
    <row r="50" spans="1:7" ht="19.5" customHeight="1">
      <c r="A50" s="3791"/>
      <c r="B50" s="3784"/>
      <c r="C50" s="3098" t="s">
        <v>2489</v>
      </c>
      <c r="D50" s="3099"/>
      <c r="E50" s="3100">
        <v>1</v>
      </c>
      <c r="F50" s="3097" t="s">
        <v>2490</v>
      </c>
      <c r="G50" s="3097"/>
    </row>
    <row r="51" spans="1:7" ht="19.5" customHeight="1" thickBot="1">
      <c r="A51" s="3792"/>
      <c r="B51" s="3786"/>
      <c r="C51" s="3101" t="s">
        <v>2491</v>
      </c>
      <c r="D51" s="3102"/>
      <c r="E51" s="3103">
        <v>1</v>
      </c>
      <c r="F51" s="3097" t="s">
        <v>2492</v>
      </c>
      <c r="G51" s="3097"/>
    </row>
    <row r="52" spans="1:7" ht="19.5" customHeight="1">
      <c r="A52" s="3110"/>
      <c r="B52" s="3110"/>
      <c r="C52" s="3110"/>
      <c r="D52" s="3110"/>
      <c r="E52" s="3110"/>
      <c r="F52" s="3110"/>
      <c r="G52" s="3110"/>
    </row>
    <row r="54" spans="1:7" ht="19.5" customHeight="1">
      <c r="A54" s="3111"/>
      <c r="B54" s="3083" t="s">
        <v>2631</v>
      </c>
      <c r="C54" s="3083" t="s">
        <v>2631</v>
      </c>
      <c r="D54" s="3083" t="s">
        <v>2631</v>
      </c>
      <c r="E54" s="3086" t="s">
        <v>2631</v>
      </c>
      <c r="F54" s="3086" t="s">
        <v>2632</v>
      </c>
      <c r="G54" s="3086" t="s">
        <v>2633</v>
      </c>
    </row>
    <row r="55" spans="1:7" ht="19.5" customHeight="1">
      <c r="A55" s="3112"/>
      <c r="B55" s="3086" t="s">
        <v>2600</v>
      </c>
      <c r="C55" s="3086" t="s">
        <v>2600</v>
      </c>
      <c r="D55" s="3086" t="s">
        <v>2600</v>
      </c>
      <c r="E55" s="3083" t="s">
        <v>2601</v>
      </c>
      <c r="F55" s="3083" t="s">
        <v>2603</v>
      </c>
      <c r="G55" s="3083" t="s">
        <v>2634</v>
      </c>
    </row>
    <row r="56" spans="1:7" ht="19.5" customHeight="1">
      <c r="A56" s="3113"/>
      <c r="B56" s="3083">
        <v>1</v>
      </c>
      <c r="C56" s="3083">
        <v>2</v>
      </c>
      <c r="D56" s="3083">
        <v>3</v>
      </c>
      <c r="E56" s="3114" t="s">
        <v>2635</v>
      </c>
      <c r="F56" s="3114" t="s">
        <v>2635</v>
      </c>
      <c r="G56" s="3114" t="s">
        <v>2635</v>
      </c>
    </row>
    <row r="57" spans="1:7" ht="19.5" customHeight="1">
      <c r="A57" s="3115" t="s">
        <v>2588</v>
      </c>
      <c r="B57" s="3083">
        <v>0.7</v>
      </c>
      <c r="C57" s="3083">
        <v>0.4</v>
      </c>
      <c r="D57" s="3083">
        <v>0.3</v>
      </c>
      <c r="E57" s="3114">
        <v>0.3</v>
      </c>
      <c r="F57" s="3083">
        <v>0.3</v>
      </c>
      <c r="G57" s="3083">
        <v>0.2</v>
      </c>
    </row>
    <row r="58" spans="1:7" ht="19.5" customHeight="1">
      <c r="A58" s="3115" t="s">
        <v>2589</v>
      </c>
      <c r="B58" s="3083">
        <v>0.7</v>
      </c>
      <c r="C58" s="3083">
        <v>0.4</v>
      </c>
      <c r="D58" s="3083">
        <v>0.3</v>
      </c>
      <c r="E58" s="3083">
        <v>0.3</v>
      </c>
      <c r="F58" s="3083">
        <v>0.3</v>
      </c>
      <c r="G58" s="3083">
        <v>0.2</v>
      </c>
    </row>
    <row r="59" spans="1:7" ht="19.5" customHeight="1">
      <c r="A59" s="3115" t="s">
        <v>2590</v>
      </c>
      <c r="B59" s="3083">
        <v>0.6</v>
      </c>
      <c r="C59" s="3083">
        <v>0.3</v>
      </c>
      <c r="D59" s="3083">
        <v>0.25</v>
      </c>
      <c r="E59" s="3083">
        <v>0.25</v>
      </c>
      <c r="F59" s="3083">
        <v>0.25</v>
      </c>
      <c r="G59" s="3083">
        <v>0.15</v>
      </c>
    </row>
    <row r="60" spans="1:7" ht="19.5" customHeight="1">
      <c r="A60" s="3115" t="s">
        <v>2591</v>
      </c>
      <c r="B60" s="3083">
        <v>0.6</v>
      </c>
      <c r="C60" s="3083">
        <v>0.3</v>
      </c>
      <c r="D60" s="3083">
        <v>0.25</v>
      </c>
      <c r="E60" s="3083">
        <v>0.25</v>
      </c>
      <c r="F60" s="3083">
        <v>0.25</v>
      </c>
      <c r="G60" s="3083">
        <v>0.15</v>
      </c>
    </row>
    <row r="61" spans="1:7" ht="19.5" customHeight="1">
      <c r="A61" s="3115" t="s">
        <v>2592</v>
      </c>
      <c r="B61" s="3083">
        <v>0.6</v>
      </c>
      <c r="C61" s="3083">
        <v>0.3</v>
      </c>
      <c r="D61" s="3083">
        <v>0.25</v>
      </c>
      <c r="E61" s="3083">
        <v>0.25</v>
      </c>
      <c r="F61" s="3083">
        <v>0.25</v>
      </c>
      <c r="G61" s="3083">
        <v>0.15</v>
      </c>
    </row>
    <row r="62" spans="1:7" ht="19.5" customHeight="1">
      <c r="A62" s="3115" t="s">
        <v>2593</v>
      </c>
      <c r="B62" s="3083">
        <v>0.6</v>
      </c>
      <c r="C62" s="3083">
        <v>0.3</v>
      </c>
      <c r="D62" s="3083">
        <v>0.25</v>
      </c>
      <c r="E62" s="3083">
        <v>0.25</v>
      </c>
      <c r="F62" s="3083">
        <v>0.25</v>
      </c>
      <c r="G62" s="3083">
        <v>0.15</v>
      </c>
    </row>
    <row r="63" spans="1:7" ht="19.5" customHeight="1">
      <c r="A63" s="3115" t="s">
        <v>2594</v>
      </c>
      <c r="B63" s="3083">
        <v>0.6</v>
      </c>
      <c r="C63" s="3083">
        <v>0.3</v>
      </c>
      <c r="D63" s="3083">
        <v>0.25</v>
      </c>
      <c r="E63" s="3083">
        <v>0.25</v>
      </c>
      <c r="F63" s="3083">
        <v>0.25</v>
      </c>
      <c r="G63" s="3083">
        <v>0.15</v>
      </c>
    </row>
    <row r="64" spans="1:7" ht="19.5" customHeight="1">
      <c r="A64" s="3115" t="s">
        <v>2595</v>
      </c>
      <c r="B64" s="3083">
        <v>0.5</v>
      </c>
      <c r="C64" s="3083">
        <v>0.2</v>
      </c>
      <c r="D64" s="3083">
        <v>0.2</v>
      </c>
      <c r="E64" s="3083">
        <v>0.2</v>
      </c>
      <c r="F64" s="3083">
        <v>0.2</v>
      </c>
      <c r="G64" s="3083">
        <v>0.1</v>
      </c>
    </row>
    <row r="65" spans="1:7" ht="19.5" customHeight="1">
      <c r="A65" s="3115" t="s">
        <v>2596</v>
      </c>
      <c r="B65" s="3083">
        <v>0.5</v>
      </c>
      <c r="C65" s="3083">
        <v>0.2</v>
      </c>
      <c r="D65" s="3083">
        <v>0.2</v>
      </c>
      <c r="E65" s="3083">
        <v>0.2</v>
      </c>
      <c r="F65" s="3083">
        <v>0.2</v>
      </c>
      <c r="G65" s="3083">
        <v>0.1</v>
      </c>
    </row>
    <row r="66" spans="1:7" ht="19.5" customHeight="1">
      <c r="A66" s="3115" t="s">
        <v>2597</v>
      </c>
      <c r="B66" s="3083">
        <v>0.5</v>
      </c>
      <c r="C66" s="3083">
        <v>0.2</v>
      </c>
      <c r="D66" s="3083">
        <v>0.2</v>
      </c>
      <c r="E66" s="3083">
        <v>0.2</v>
      </c>
      <c r="F66" s="3083">
        <v>0.2</v>
      </c>
      <c r="G66" s="3083">
        <v>0.1</v>
      </c>
    </row>
    <row r="67" spans="1:7" ht="19.5" customHeight="1">
      <c r="A67" s="3115" t="s">
        <v>2598</v>
      </c>
      <c r="B67" s="3083">
        <v>0.5</v>
      </c>
      <c r="C67" s="3083">
        <v>0.2</v>
      </c>
      <c r="D67" s="3083">
        <v>0.2</v>
      </c>
      <c r="E67" s="3083">
        <v>0.2</v>
      </c>
      <c r="F67" s="3083">
        <v>0.2</v>
      </c>
      <c r="G67" s="3083">
        <v>0.1</v>
      </c>
    </row>
    <row r="68" spans="1:7" ht="19.5" customHeight="1">
      <c r="A68" s="3115" t="s">
        <v>2599</v>
      </c>
      <c r="B68" s="3083">
        <v>0.5</v>
      </c>
      <c r="C68" s="3083">
        <v>0.2</v>
      </c>
      <c r="D68" s="3083">
        <v>0.2</v>
      </c>
      <c r="E68" s="3083">
        <v>0.2</v>
      </c>
      <c r="F68" s="3083">
        <v>0.2</v>
      </c>
      <c r="G68" s="3083">
        <v>0.1</v>
      </c>
    </row>
    <row r="70" spans="1:7" ht="19.5" customHeight="1">
      <c r="A70" s="3116"/>
      <c r="B70" s="3117"/>
      <c r="C70" s="3117"/>
      <c r="D70" s="3117" t="s">
        <v>2636</v>
      </c>
      <c r="E70" s="3117"/>
      <c r="F70" s="3117"/>
    </row>
    <row r="71" spans="1:7" ht="19.5" customHeight="1">
      <c r="A71" s="3109" t="s">
        <v>2637</v>
      </c>
      <c r="B71" s="3109" t="s">
        <v>2638</v>
      </c>
      <c r="C71" s="3109" t="s">
        <v>2639</v>
      </c>
      <c r="D71" s="3109" t="s">
        <v>2640</v>
      </c>
      <c r="E71" s="3109" t="s">
        <v>2641</v>
      </c>
      <c r="F71" s="3109" t="s">
        <v>2642</v>
      </c>
    </row>
    <row r="72" spans="1:7" ht="13.5">
      <c r="A72" s="3109"/>
      <c r="B72" s="3109"/>
      <c r="C72" s="3109" t="s">
        <v>2643</v>
      </c>
      <c r="D72" s="3109"/>
      <c r="E72" s="3109" t="s">
        <v>2614</v>
      </c>
      <c r="F72" s="3109" t="s">
        <v>2614</v>
      </c>
    </row>
    <row r="73" spans="1:7" ht="13.5">
      <c r="A73" s="3109">
        <v>1</v>
      </c>
      <c r="B73" s="3782" t="s">
        <v>2644</v>
      </c>
      <c r="C73" s="3083" t="s">
        <v>2645</v>
      </c>
      <c r="D73" s="3083" t="s">
        <v>2646</v>
      </c>
      <c r="E73" s="3109">
        <v>0.2</v>
      </c>
      <c r="F73" s="3109">
        <v>25</v>
      </c>
    </row>
    <row r="74" spans="1:7" ht="24">
      <c r="A74" s="3109">
        <v>2</v>
      </c>
      <c r="B74" s="3784"/>
      <c r="C74" s="3083" t="s">
        <v>2647</v>
      </c>
      <c r="D74" s="3083" t="s">
        <v>2648</v>
      </c>
      <c r="E74" s="3109">
        <v>0.2</v>
      </c>
      <c r="F74" s="3109">
        <v>25</v>
      </c>
    </row>
    <row r="75" spans="1:7" ht="24">
      <c r="A75" s="3109">
        <v>3</v>
      </c>
      <c r="B75" s="3784"/>
      <c r="C75" s="3083" t="s">
        <v>2649</v>
      </c>
      <c r="D75" s="3083" t="s">
        <v>2650</v>
      </c>
      <c r="E75" s="3109">
        <v>0.2</v>
      </c>
      <c r="F75" s="3109">
        <v>25</v>
      </c>
    </row>
    <row r="76" spans="1:7" ht="13.5">
      <c r="A76" s="3109">
        <v>4</v>
      </c>
      <c r="B76" s="3784"/>
      <c r="C76" s="3083" t="s">
        <v>2651</v>
      </c>
      <c r="D76" s="3083" t="s">
        <v>2652</v>
      </c>
      <c r="E76" s="3109">
        <v>0.15</v>
      </c>
      <c r="F76" s="3109">
        <v>20</v>
      </c>
    </row>
    <row r="77" spans="1:7" ht="24">
      <c r="A77" s="3109">
        <v>5</v>
      </c>
      <c r="B77" s="3784"/>
      <c r="C77" s="3083" t="s">
        <v>2653</v>
      </c>
      <c r="D77" s="3083" t="s">
        <v>2654</v>
      </c>
      <c r="E77" s="3109">
        <v>0.15</v>
      </c>
      <c r="F77" s="3109">
        <v>20</v>
      </c>
    </row>
    <row r="78" spans="1:7" ht="24">
      <c r="A78" s="3109">
        <v>6</v>
      </c>
      <c r="B78" s="3784"/>
      <c r="C78" s="3083" t="s">
        <v>2655</v>
      </c>
      <c r="D78" s="3083" t="s">
        <v>2656</v>
      </c>
      <c r="E78" s="3109">
        <v>0.15</v>
      </c>
      <c r="F78" s="3109">
        <v>20</v>
      </c>
    </row>
    <row r="79" spans="1:7" ht="24">
      <c r="A79" s="3109">
        <v>7</v>
      </c>
      <c r="B79" s="3784"/>
      <c r="C79" s="3083" t="s">
        <v>2657</v>
      </c>
      <c r="D79" s="3083" t="s">
        <v>2658</v>
      </c>
      <c r="E79" s="3109">
        <v>0.15</v>
      </c>
      <c r="F79" s="3109">
        <v>20</v>
      </c>
    </row>
    <row r="80" spans="1:7" ht="24">
      <c r="A80" s="3109">
        <v>8</v>
      </c>
      <c r="B80" s="3784"/>
      <c r="C80" s="3083" t="s">
        <v>2659</v>
      </c>
      <c r="D80" s="3083" t="s">
        <v>2660</v>
      </c>
      <c r="E80" s="3109">
        <v>0.1</v>
      </c>
      <c r="F80" s="3109">
        <v>15</v>
      </c>
    </row>
    <row r="81" spans="1:6" ht="24">
      <c r="A81" s="3109">
        <v>9</v>
      </c>
      <c r="B81" s="3784"/>
      <c r="C81" s="3083" t="s">
        <v>2661</v>
      </c>
      <c r="D81" s="3083" t="s">
        <v>2662</v>
      </c>
      <c r="E81" s="3109">
        <v>0.1</v>
      </c>
      <c r="F81" s="3109">
        <v>15</v>
      </c>
    </row>
    <row r="82" spans="1:6" ht="24">
      <c r="A82" s="3109">
        <v>10</v>
      </c>
      <c r="B82" s="3784"/>
      <c r="C82" s="3083" t="s">
        <v>2663</v>
      </c>
      <c r="D82" s="3083" t="s">
        <v>2664</v>
      </c>
      <c r="E82" s="3109">
        <v>0.1</v>
      </c>
      <c r="F82" s="3109">
        <v>15</v>
      </c>
    </row>
    <row r="83" spans="1:6" ht="24">
      <c r="A83" s="3109">
        <v>11</v>
      </c>
      <c r="B83" s="3784"/>
      <c r="C83" s="3083" t="s">
        <v>2665</v>
      </c>
      <c r="D83" s="3083" t="s">
        <v>2666</v>
      </c>
      <c r="E83" s="3109">
        <v>0.1</v>
      </c>
      <c r="F83" s="3109">
        <v>15</v>
      </c>
    </row>
    <row r="84" spans="1:6" ht="24">
      <c r="A84" s="3109">
        <v>12</v>
      </c>
      <c r="B84" s="3784"/>
      <c r="C84" s="3083" t="s">
        <v>2667</v>
      </c>
      <c r="D84" s="3083" t="s">
        <v>2668</v>
      </c>
      <c r="E84" s="3109">
        <v>0.1</v>
      </c>
      <c r="F84" s="3109">
        <v>15</v>
      </c>
    </row>
    <row r="85" spans="1:6" ht="13.5">
      <c r="A85" s="3109">
        <v>13</v>
      </c>
      <c r="B85" s="3784"/>
      <c r="C85" s="3083" t="s">
        <v>2669</v>
      </c>
      <c r="D85" s="3083" t="s">
        <v>2670</v>
      </c>
      <c r="E85" s="3109">
        <v>0.1</v>
      </c>
      <c r="F85" s="3109">
        <v>15</v>
      </c>
    </row>
    <row r="86" spans="1:6" ht="13.5">
      <c r="A86" s="3109">
        <v>14</v>
      </c>
      <c r="B86" s="3784"/>
      <c r="C86" s="3083" t="s">
        <v>2671</v>
      </c>
      <c r="D86" s="3083" t="s">
        <v>2672</v>
      </c>
      <c r="E86" s="3109">
        <v>0.1</v>
      </c>
      <c r="F86" s="3109">
        <v>15</v>
      </c>
    </row>
    <row r="87" spans="1:6" ht="13.5">
      <c r="A87" s="3109">
        <v>15</v>
      </c>
      <c r="B87" s="3784"/>
      <c r="C87" s="3083" t="s">
        <v>2673</v>
      </c>
      <c r="D87" s="3083" t="s">
        <v>2674</v>
      </c>
      <c r="E87" s="3109">
        <v>0.1</v>
      </c>
      <c r="F87" s="3109">
        <v>15</v>
      </c>
    </row>
    <row r="88" spans="1:6" ht="24">
      <c r="A88" s="3109">
        <v>16</v>
      </c>
      <c r="B88" s="3784"/>
      <c r="C88" s="3083" t="s">
        <v>2675</v>
      </c>
      <c r="D88" s="3083" t="s">
        <v>2676</v>
      </c>
      <c r="E88" s="3109">
        <v>0.1</v>
      </c>
      <c r="F88" s="3109">
        <v>15</v>
      </c>
    </row>
    <row r="89" spans="1:6" ht="24">
      <c r="A89" s="3109">
        <v>17</v>
      </c>
      <c r="B89" s="3783"/>
      <c r="C89" s="3083" t="s">
        <v>2677</v>
      </c>
      <c r="D89" s="3083" t="s">
        <v>2678</v>
      </c>
      <c r="E89" s="3109">
        <v>0.1</v>
      </c>
      <c r="F89" s="3109">
        <v>15</v>
      </c>
    </row>
    <row r="90" spans="1:6" ht="13.5">
      <c r="A90" s="3109">
        <v>18</v>
      </c>
      <c r="B90" s="3782" t="s">
        <v>2679</v>
      </c>
      <c r="C90" s="3083" t="s">
        <v>2680</v>
      </c>
      <c r="D90" s="3083" t="s">
        <v>2681</v>
      </c>
      <c r="E90" s="3109">
        <v>0.2</v>
      </c>
      <c r="F90" s="3109">
        <v>25</v>
      </c>
    </row>
    <row r="91" spans="1:6" ht="24">
      <c r="A91" s="3109">
        <v>19</v>
      </c>
      <c r="B91" s="3784"/>
      <c r="C91" s="3083" t="s">
        <v>2682</v>
      </c>
      <c r="D91" s="3083" t="s">
        <v>2683</v>
      </c>
      <c r="E91" s="3109">
        <v>0.2</v>
      </c>
      <c r="F91" s="3109">
        <v>25</v>
      </c>
    </row>
    <row r="92" spans="1:6" ht="13.5">
      <c r="A92" s="3109">
        <v>20</v>
      </c>
      <c r="B92" s="3784"/>
      <c r="C92" s="3083" t="s">
        <v>2684</v>
      </c>
      <c r="D92" s="3083" t="s">
        <v>2685</v>
      </c>
      <c r="E92" s="3109">
        <v>0.15</v>
      </c>
      <c r="F92" s="3109">
        <v>20</v>
      </c>
    </row>
    <row r="93" spans="1:6" ht="13.5">
      <c r="A93" s="3109">
        <v>21</v>
      </c>
      <c r="B93" s="3784"/>
      <c r="C93" s="3083" t="s">
        <v>2686</v>
      </c>
      <c r="D93" s="3083" t="s">
        <v>2687</v>
      </c>
      <c r="E93" s="3109">
        <v>0.15</v>
      </c>
      <c r="F93" s="3109">
        <v>20</v>
      </c>
    </row>
    <row r="94" spans="1:6" ht="13.5">
      <c r="A94" s="3109">
        <v>22</v>
      </c>
      <c r="B94" s="3784"/>
      <c r="C94" s="3083" t="s">
        <v>2688</v>
      </c>
      <c r="D94" s="3083" t="s">
        <v>2689</v>
      </c>
      <c r="E94" s="3109">
        <v>0.15</v>
      </c>
      <c r="F94" s="3109">
        <v>20</v>
      </c>
    </row>
    <row r="95" spans="1:6" ht="36">
      <c r="A95" s="3109">
        <v>23</v>
      </c>
      <c r="B95" s="3784"/>
      <c r="C95" s="3083" t="s">
        <v>2690</v>
      </c>
      <c r="D95" s="3083" t="s">
        <v>2691</v>
      </c>
      <c r="E95" s="3109">
        <v>0.15</v>
      </c>
      <c r="F95" s="3109">
        <v>20</v>
      </c>
    </row>
    <row r="96" spans="1:6" ht="13.5">
      <c r="A96" s="3109">
        <v>24</v>
      </c>
      <c r="B96" s="3784"/>
      <c r="C96" s="3083" t="s">
        <v>2692</v>
      </c>
      <c r="D96" s="3083" t="s">
        <v>2693</v>
      </c>
      <c r="E96" s="3109">
        <v>0.1</v>
      </c>
      <c r="F96" s="3109">
        <v>15</v>
      </c>
    </row>
    <row r="97" spans="1:6" ht="13.5">
      <c r="A97" s="3109">
        <v>25</v>
      </c>
      <c r="B97" s="3784"/>
      <c r="C97" s="3083" t="s">
        <v>2694</v>
      </c>
      <c r="D97" s="3083" t="s">
        <v>2695</v>
      </c>
      <c r="E97" s="3109">
        <v>0.1</v>
      </c>
      <c r="F97" s="3109">
        <v>15</v>
      </c>
    </row>
    <row r="98" spans="1:6" ht="24">
      <c r="A98" s="3109">
        <v>26</v>
      </c>
      <c r="B98" s="3784"/>
      <c r="C98" s="3083" t="s">
        <v>2696</v>
      </c>
      <c r="D98" s="3083" t="s">
        <v>2697</v>
      </c>
      <c r="E98" s="3109">
        <v>0.1</v>
      </c>
      <c r="F98" s="3109">
        <v>15</v>
      </c>
    </row>
    <row r="99" spans="1:6" ht="24">
      <c r="A99" s="3109">
        <v>27</v>
      </c>
      <c r="B99" s="3784"/>
      <c r="C99" s="3083" t="s">
        <v>2698</v>
      </c>
      <c r="D99" s="3083" t="s">
        <v>2699</v>
      </c>
      <c r="E99" s="3109">
        <v>0.1</v>
      </c>
      <c r="F99" s="3109">
        <v>15</v>
      </c>
    </row>
    <row r="100" spans="1:6" ht="13.5">
      <c r="A100" s="3109">
        <v>28</v>
      </c>
      <c r="B100" s="3784"/>
      <c r="C100" s="3083" t="s">
        <v>2700</v>
      </c>
      <c r="D100" s="3083" t="s">
        <v>2701</v>
      </c>
      <c r="E100" s="3109">
        <v>0.1</v>
      </c>
      <c r="F100" s="3109">
        <v>15</v>
      </c>
    </row>
    <row r="101" spans="1:6" ht="13.5">
      <c r="A101" s="3109">
        <v>29</v>
      </c>
      <c r="B101" s="3784"/>
      <c r="C101" s="3083" t="s">
        <v>2702</v>
      </c>
      <c r="D101" s="3083" t="s">
        <v>2703</v>
      </c>
      <c r="E101" s="3109">
        <v>0.1</v>
      </c>
      <c r="F101" s="3109">
        <v>15</v>
      </c>
    </row>
    <row r="102" spans="1:6" ht="13.5">
      <c r="A102" s="3109">
        <v>30</v>
      </c>
      <c r="B102" s="3784"/>
      <c r="C102" s="3083" t="s">
        <v>2704</v>
      </c>
      <c r="D102" s="3083" t="s">
        <v>2705</v>
      </c>
      <c r="E102" s="3109">
        <v>0.1</v>
      </c>
      <c r="F102" s="3109">
        <v>15</v>
      </c>
    </row>
    <row r="103" spans="1:6" ht="24">
      <c r="A103" s="3109">
        <v>31</v>
      </c>
      <c r="B103" s="3784"/>
      <c r="C103" s="3083" t="s">
        <v>2706</v>
      </c>
      <c r="D103" s="3083" t="s">
        <v>2707</v>
      </c>
      <c r="E103" s="3109">
        <v>0.1</v>
      </c>
      <c r="F103" s="3109">
        <v>15</v>
      </c>
    </row>
    <row r="104" spans="1:6" ht="24">
      <c r="A104" s="3109">
        <v>32</v>
      </c>
      <c r="B104" s="3784"/>
      <c r="C104" s="3083" t="s">
        <v>2708</v>
      </c>
      <c r="D104" s="3083" t="s">
        <v>2709</v>
      </c>
      <c r="E104" s="3109">
        <v>0.1</v>
      </c>
      <c r="F104" s="3109">
        <v>15</v>
      </c>
    </row>
    <row r="105" spans="1:6" ht="24">
      <c r="A105" s="3109">
        <v>33</v>
      </c>
      <c r="B105" s="3784"/>
      <c r="C105" s="3083" t="s">
        <v>2710</v>
      </c>
      <c r="D105" s="3083" t="s">
        <v>2711</v>
      </c>
      <c r="E105" s="3109">
        <v>0.1</v>
      </c>
      <c r="F105" s="3109">
        <v>15</v>
      </c>
    </row>
    <row r="106" spans="1:6" ht="24">
      <c r="A106" s="3109">
        <v>34</v>
      </c>
      <c r="B106" s="3783"/>
      <c r="C106" s="3083" t="s">
        <v>2712</v>
      </c>
      <c r="D106" s="3083" t="s">
        <v>2713</v>
      </c>
      <c r="E106" s="3109">
        <v>0.1</v>
      </c>
      <c r="F106" s="3109">
        <v>15</v>
      </c>
    </row>
    <row r="107" spans="1:6" ht="24">
      <c r="A107" s="3109">
        <v>35</v>
      </c>
      <c r="B107" s="3782" t="s">
        <v>2714</v>
      </c>
      <c r="C107" s="3109" t="s">
        <v>2715</v>
      </c>
      <c r="D107" s="3083" t="s">
        <v>2716</v>
      </c>
      <c r="E107" s="3109">
        <v>0.15</v>
      </c>
      <c r="F107" s="3109">
        <v>20</v>
      </c>
    </row>
    <row r="108" spans="1:6" ht="13.5">
      <c r="A108" s="3109">
        <v>36</v>
      </c>
      <c r="B108" s="3784"/>
      <c r="C108" s="3109" t="s">
        <v>2717</v>
      </c>
      <c r="D108" s="3083" t="s">
        <v>2718</v>
      </c>
      <c r="E108" s="3109">
        <v>0.15</v>
      </c>
      <c r="F108" s="3109">
        <v>20</v>
      </c>
    </row>
    <row r="109" spans="1:6" ht="13.5">
      <c r="A109" s="3109">
        <v>37</v>
      </c>
      <c r="B109" s="3784"/>
      <c r="C109" s="3109" t="s">
        <v>2719</v>
      </c>
      <c r="D109" s="3083" t="s">
        <v>2720</v>
      </c>
      <c r="E109" s="3109">
        <v>0.15</v>
      </c>
      <c r="F109" s="3109">
        <v>20</v>
      </c>
    </row>
    <row r="110" spans="1:6" ht="13.5">
      <c r="A110" s="3109">
        <v>38</v>
      </c>
      <c r="B110" s="3784"/>
      <c r="C110" s="3109" t="s">
        <v>2721</v>
      </c>
      <c r="D110" s="3083" t="s">
        <v>2722</v>
      </c>
      <c r="E110" s="3109">
        <v>0.1</v>
      </c>
      <c r="F110" s="3109">
        <v>15</v>
      </c>
    </row>
    <row r="111" spans="1:6" ht="24">
      <c r="A111" s="3109">
        <v>39</v>
      </c>
      <c r="B111" s="3784"/>
      <c r="C111" s="3109" t="s">
        <v>2723</v>
      </c>
      <c r="D111" s="3083" t="s">
        <v>2724</v>
      </c>
      <c r="E111" s="3109">
        <v>0.1</v>
      </c>
      <c r="F111" s="3109">
        <v>15</v>
      </c>
    </row>
    <row r="112" spans="1:6" ht="24">
      <c r="A112" s="3109">
        <v>40</v>
      </c>
      <c r="B112" s="3783"/>
      <c r="C112" s="3109" t="s">
        <v>2725</v>
      </c>
      <c r="D112" s="3083" t="s">
        <v>2726</v>
      </c>
      <c r="E112" s="3109">
        <v>0.1</v>
      </c>
      <c r="F112" s="3109">
        <v>15</v>
      </c>
    </row>
    <row r="113" spans="1:6" ht="13.5">
      <c r="A113" s="3109">
        <v>41</v>
      </c>
      <c r="B113" s="3781" t="s">
        <v>2727</v>
      </c>
      <c r="C113" s="3109" t="s">
        <v>2728</v>
      </c>
      <c r="D113" s="3083" t="s">
        <v>2729</v>
      </c>
      <c r="E113" s="3109">
        <v>0.1</v>
      </c>
      <c r="F113" s="3109">
        <v>15</v>
      </c>
    </row>
    <row r="114" spans="1:6" ht="13.5">
      <c r="A114" s="3109">
        <v>42</v>
      </c>
      <c r="B114" s="3781"/>
      <c r="C114" s="3109" t="s">
        <v>2730</v>
      </c>
      <c r="D114" s="3083" t="s">
        <v>2731</v>
      </c>
      <c r="E114" s="3109">
        <v>0.1</v>
      </c>
      <c r="F114" s="3109">
        <v>15</v>
      </c>
    </row>
    <row r="115" spans="1:6" ht="24">
      <c r="A115" s="3109">
        <v>43</v>
      </c>
      <c r="B115" s="3781"/>
      <c r="C115" s="3109" t="s">
        <v>2732</v>
      </c>
      <c r="D115" s="3083" t="s">
        <v>2733</v>
      </c>
      <c r="E115" s="3109">
        <v>0.1</v>
      </c>
      <c r="F115" s="3109">
        <v>15</v>
      </c>
    </row>
    <row r="116" spans="1:6" ht="13.5">
      <c r="A116" s="3109">
        <v>44</v>
      </c>
      <c r="B116" s="3782" t="s">
        <v>2734</v>
      </c>
      <c r="C116" s="3109" t="s">
        <v>2735</v>
      </c>
      <c r="D116" s="3083" t="s">
        <v>2736</v>
      </c>
      <c r="E116" s="3109">
        <v>0.1</v>
      </c>
      <c r="F116" s="3109">
        <v>15</v>
      </c>
    </row>
    <row r="117" spans="1:6" ht="24">
      <c r="A117" s="3109">
        <v>45</v>
      </c>
      <c r="B117" s="3783"/>
      <c r="C117" s="3083" t="s">
        <v>2737</v>
      </c>
      <c r="D117" s="3083" t="s">
        <v>2738</v>
      </c>
      <c r="E117" s="3109">
        <v>0.1</v>
      </c>
      <c r="F117" s="3109">
        <v>15</v>
      </c>
    </row>
    <row r="118" spans="1:6" ht="24">
      <c r="A118" s="3109">
        <v>46</v>
      </c>
      <c r="B118" s="3782" t="s">
        <v>2739</v>
      </c>
      <c r="C118" s="3109" t="s">
        <v>2740</v>
      </c>
      <c r="D118" s="3083" t="s">
        <v>2741</v>
      </c>
      <c r="E118" s="3109">
        <v>0.1</v>
      </c>
      <c r="F118" s="3109">
        <v>15</v>
      </c>
    </row>
    <row r="119" spans="1:6" ht="24">
      <c r="A119" s="3109">
        <v>47</v>
      </c>
      <c r="B119" s="3783"/>
      <c r="C119" s="3109" t="s">
        <v>2742</v>
      </c>
      <c r="D119" s="3083" t="s">
        <v>2743</v>
      </c>
      <c r="E119" s="3109">
        <v>0.1</v>
      </c>
      <c r="F119" s="3109">
        <v>15</v>
      </c>
    </row>
    <row r="120" spans="1:6" ht="13.5">
      <c r="A120" s="3109">
        <v>48</v>
      </c>
      <c r="B120" s="3782" t="s">
        <v>2744</v>
      </c>
      <c r="C120" s="3109" t="s">
        <v>2745</v>
      </c>
      <c r="D120" s="3083" t="s">
        <v>2746</v>
      </c>
      <c r="E120" s="3109">
        <v>0.1</v>
      </c>
      <c r="F120" s="3109">
        <v>15</v>
      </c>
    </row>
    <row r="121" spans="1:6" ht="13.5">
      <c r="A121" s="3109">
        <v>49</v>
      </c>
      <c r="B121" s="3783"/>
      <c r="C121" s="3109" t="s">
        <v>2747</v>
      </c>
      <c r="D121" s="3083" t="s">
        <v>2748</v>
      </c>
      <c r="E121" s="3109">
        <v>0.1</v>
      </c>
      <c r="F121" s="3109">
        <v>15</v>
      </c>
    </row>
    <row r="122" spans="1:6" ht="24">
      <c r="A122" s="3109">
        <v>50</v>
      </c>
      <c r="B122" s="3781" t="s">
        <v>2749</v>
      </c>
      <c r="C122" s="3109" t="s">
        <v>2750</v>
      </c>
      <c r="D122" s="3083" t="s">
        <v>2751</v>
      </c>
      <c r="E122" s="3109">
        <v>0.1</v>
      </c>
      <c r="F122" s="3109">
        <v>15</v>
      </c>
    </row>
    <row r="123" spans="1:6" ht="24">
      <c r="A123" s="3109">
        <v>51</v>
      </c>
      <c r="B123" s="3781"/>
      <c r="C123" s="3109" t="s">
        <v>2752</v>
      </c>
      <c r="D123" s="3083" t="s">
        <v>2753</v>
      </c>
      <c r="E123" s="3109">
        <v>0.1</v>
      </c>
      <c r="F123" s="3109">
        <v>15</v>
      </c>
    </row>
    <row r="124" spans="1:6" ht="24">
      <c r="A124" s="3109">
        <v>52</v>
      </c>
      <c r="B124" s="3781" t="s">
        <v>2754</v>
      </c>
      <c r="C124" s="3109" t="s">
        <v>2755</v>
      </c>
      <c r="D124" s="3083" t="s">
        <v>2756</v>
      </c>
      <c r="E124" s="3109">
        <v>0.1</v>
      </c>
      <c r="F124" s="3109">
        <v>15</v>
      </c>
    </row>
    <row r="125" spans="1:6" ht="24">
      <c r="A125" s="3109">
        <v>53</v>
      </c>
      <c r="B125" s="3781"/>
      <c r="C125" s="3109" t="s">
        <v>2757</v>
      </c>
      <c r="D125" s="3083" t="s">
        <v>2758</v>
      </c>
      <c r="E125" s="3109">
        <v>0.1</v>
      </c>
      <c r="F125" s="3109">
        <v>15</v>
      </c>
    </row>
    <row r="126" spans="1:6" ht="13.5">
      <c r="A126" s="3109">
        <v>54</v>
      </c>
      <c r="B126" s="3109" t="s">
        <v>2759</v>
      </c>
      <c r="C126" s="3109" t="s">
        <v>2760</v>
      </c>
      <c r="D126" s="3083" t="s">
        <v>2761</v>
      </c>
      <c r="E126" s="3109">
        <v>0.1</v>
      </c>
      <c r="F126" s="3109">
        <v>15</v>
      </c>
    </row>
    <row r="127" spans="1:6" ht="13.5">
      <c r="A127" s="3109">
        <v>55</v>
      </c>
      <c r="B127" s="3781" t="s">
        <v>2762</v>
      </c>
      <c r="C127" s="3109" t="s">
        <v>2763</v>
      </c>
      <c r="D127" s="3083" t="s">
        <v>2764</v>
      </c>
      <c r="E127" s="3109">
        <v>0.1</v>
      </c>
      <c r="F127" s="3109">
        <v>15</v>
      </c>
    </row>
    <row r="128" spans="1:6" ht="13.5">
      <c r="A128" s="3109">
        <v>56</v>
      </c>
      <c r="B128" s="3781"/>
      <c r="C128" s="3109" t="s">
        <v>2765</v>
      </c>
      <c r="D128" s="3083" t="s">
        <v>2766</v>
      </c>
      <c r="E128" s="3109">
        <v>0.1</v>
      </c>
      <c r="F128" s="3109">
        <v>15</v>
      </c>
    </row>
    <row r="129" spans="1:6" ht="24">
      <c r="A129" s="3109">
        <v>57</v>
      </c>
      <c r="B129" s="3781"/>
      <c r="C129" s="3109" t="s">
        <v>2767</v>
      </c>
      <c r="D129" s="3083" t="s">
        <v>2768</v>
      </c>
      <c r="E129" s="3109">
        <v>0.1</v>
      </c>
      <c r="F129" s="3109">
        <v>15</v>
      </c>
    </row>
    <row r="130" spans="1:6" ht="24">
      <c r="A130" s="3109">
        <v>58</v>
      </c>
      <c r="B130" s="3781" t="s">
        <v>2769</v>
      </c>
      <c r="C130" s="3109" t="s">
        <v>2770</v>
      </c>
      <c r="D130" s="3083" t="s">
        <v>2771</v>
      </c>
      <c r="E130" s="3109">
        <v>0.1</v>
      </c>
      <c r="F130" s="3109">
        <v>15</v>
      </c>
    </row>
    <row r="131" spans="1:6" ht="13.5">
      <c r="A131" s="3109">
        <v>59</v>
      </c>
      <c r="B131" s="3781"/>
      <c r="C131" s="3109" t="s">
        <v>2772</v>
      </c>
      <c r="D131" s="3083" t="s">
        <v>2773</v>
      </c>
      <c r="E131" s="3109">
        <v>0.1</v>
      </c>
      <c r="F131" s="3109">
        <v>15</v>
      </c>
    </row>
    <row r="132" spans="1:6" ht="13.5">
      <c r="A132" s="3109">
        <v>60</v>
      </c>
      <c r="B132" s="3782" t="s">
        <v>2774</v>
      </c>
      <c r="C132" s="3109" t="s">
        <v>2775</v>
      </c>
      <c r="D132" s="3083" t="s">
        <v>2776</v>
      </c>
      <c r="E132" s="3109">
        <v>0.1</v>
      </c>
      <c r="F132" s="3109">
        <v>15</v>
      </c>
    </row>
    <row r="133" spans="1:6" ht="13.5">
      <c r="A133" s="3109">
        <v>61</v>
      </c>
      <c r="B133" s="3783"/>
      <c r="C133" s="3109" t="s">
        <v>2777</v>
      </c>
      <c r="D133" s="3083" t="s">
        <v>2778</v>
      </c>
      <c r="E133" s="3109">
        <v>0.1</v>
      </c>
      <c r="F133" s="3109">
        <v>15</v>
      </c>
    </row>
    <row r="134" spans="1:6" ht="24">
      <c r="A134" s="3109">
        <v>62</v>
      </c>
      <c r="B134" s="3109" t="s">
        <v>2779</v>
      </c>
      <c r="C134" s="3109" t="s">
        <v>2780</v>
      </c>
      <c r="D134" s="3083" t="s">
        <v>2781</v>
      </c>
      <c r="E134" s="3109">
        <v>0.1</v>
      </c>
      <c r="F134" s="3109">
        <v>15</v>
      </c>
    </row>
    <row r="135" spans="1:6" ht="13.5">
      <c r="A135" s="3109">
        <v>63</v>
      </c>
      <c r="B135" s="3781" t="s">
        <v>2782</v>
      </c>
      <c r="C135" s="3109" t="s">
        <v>2783</v>
      </c>
      <c r="D135" s="3083" t="s">
        <v>2784</v>
      </c>
      <c r="E135" s="3109">
        <v>0.1</v>
      </c>
      <c r="F135" s="3109">
        <v>15</v>
      </c>
    </row>
    <row r="136" spans="1:6" ht="13.5">
      <c r="A136" s="3109">
        <v>64</v>
      </c>
      <c r="B136" s="3781"/>
      <c r="C136" s="3109" t="s">
        <v>2785</v>
      </c>
      <c r="D136" s="3083" t="s">
        <v>2786</v>
      </c>
      <c r="E136" s="3109">
        <v>0.1</v>
      </c>
      <c r="F136" s="3109">
        <v>15</v>
      </c>
    </row>
    <row r="137" spans="1:6" ht="13.5">
      <c r="A137" s="3109">
        <v>65</v>
      </c>
      <c r="B137" s="3109" t="s">
        <v>2787</v>
      </c>
      <c r="C137" s="3109" t="s">
        <v>2788</v>
      </c>
      <c r="D137" s="3083" t="s">
        <v>2789</v>
      </c>
      <c r="E137" s="3109">
        <v>0.1</v>
      </c>
      <c r="F137" s="3109">
        <v>15</v>
      </c>
    </row>
    <row r="138" spans="1:6" ht="13.5">
      <c r="A138" s="3109"/>
      <c r="B138" s="3109"/>
      <c r="C138" s="3109"/>
      <c r="D138" s="3109"/>
      <c r="E138" s="3109" t="s">
        <v>2790</v>
      </c>
      <c r="F138" s="3109"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8"/>
  </cols>
  <sheetData>
    <row r="1" spans="1:20" ht="15" thickBot="1">
      <c r="A1" s="3118" t="s">
        <v>2791</v>
      </c>
      <c r="B1" s="3118"/>
      <c r="C1" s="3118"/>
      <c r="D1" s="3118"/>
      <c r="E1" s="3118"/>
      <c r="F1" s="3118"/>
      <c r="G1" s="3118"/>
      <c r="H1" s="3118"/>
      <c r="I1" s="3118"/>
      <c r="J1" s="3118"/>
      <c r="K1" s="3118"/>
      <c r="L1" s="3118"/>
      <c r="M1" s="3118"/>
      <c r="N1" s="747"/>
    </row>
    <row r="2" spans="1:20">
      <c r="A2" s="3119" t="s">
        <v>2792</v>
      </c>
      <c r="B2" s="3120" t="s">
        <v>2588</v>
      </c>
      <c r="C2" s="3120" t="s">
        <v>2589</v>
      </c>
      <c r="D2" s="3120" t="s">
        <v>2590</v>
      </c>
      <c r="E2" s="3120" t="s">
        <v>2591</v>
      </c>
      <c r="F2" s="3120" t="s">
        <v>2592</v>
      </c>
      <c r="G2" s="3120" t="s">
        <v>2593</v>
      </c>
      <c r="H2" s="3121" t="s">
        <v>2594</v>
      </c>
      <c r="I2" s="3121" t="s">
        <v>2595</v>
      </c>
      <c r="J2" s="3122" t="s">
        <v>2596</v>
      </c>
      <c r="K2" s="3122" t="s">
        <v>2597</v>
      </c>
      <c r="L2" s="3122" t="s">
        <v>2598</v>
      </c>
      <c r="M2" s="3123" t="s">
        <v>2599</v>
      </c>
      <c r="Q2" s="3133" t="s">
        <v>2797</v>
      </c>
      <c r="R2" s="3133" t="s">
        <v>2798</v>
      </c>
      <c r="S2" s="3133" t="s">
        <v>2799</v>
      </c>
      <c r="T2" s="3133" t="s">
        <v>2800</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9"/>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9"/>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9"/>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2793</v>
      </c>
      <c r="B93" s="3118"/>
      <c r="C93" s="3118"/>
      <c r="D93" s="3118"/>
      <c r="E93" s="3118"/>
      <c r="F93" s="3118"/>
      <c r="G93" s="3118"/>
      <c r="H93" s="3118"/>
      <c r="I93" s="3118"/>
      <c r="J93" s="3118"/>
      <c r="K93" s="3118"/>
      <c r="L93" s="3118"/>
      <c r="M93" s="3118"/>
    </row>
    <row r="94" spans="1:20">
      <c r="A94" s="3119" t="s">
        <v>2792</v>
      </c>
      <c r="B94" s="3120" t="s">
        <v>2588</v>
      </c>
      <c r="C94" s="3120" t="s">
        <v>2589</v>
      </c>
      <c r="D94" s="3120" t="s">
        <v>2590</v>
      </c>
      <c r="E94" s="3120" t="s">
        <v>2591</v>
      </c>
      <c r="F94" s="3120" t="s">
        <v>2592</v>
      </c>
      <c r="G94" s="3120" t="s">
        <v>2593</v>
      </c>
      <c r="H94" s="3121" t="s">
        <v>2594</v>
      </c>
      <c r="I94" s="3121" t="s">
        <v>2595</v>
      </c>
      <c r="J94" s="3122" t="s">
        <v>2596</v>
      </c>
      <c r="K94" s="3122" t="s">
        <v>2597</v>
      </c>
      <c r="L94" s="3122" t="s">
        <v>2598</v>
      </c>
      <c r="M94" s="3123" t="s">
        <v>2599</v>
      </c>
      <c r="N94" s="748">
        <f>SUMPRODUCT((A95:A184=ROUNDDOWN(基准地价修正!G3,1))*(B94:M94=基准地价修正!G2)*(B95:M184))</f>
        <v>0</v>
      </c>
      <c r="Q94" s="3133" t="s">
        <v>2797</v>
      </c>
      <c r="R94" s="3133" t="s">
        <v>2798</v>
      </c>
      <c r="S94" s="3133" t="s">
        <v>2799</v>
      </c>
      <c r="T94" s="3133" t="s">
        <v>2800</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7"/>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7"/>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2794</v>
      </c>
      <c r="B185" s="3118"/>
      <c r="C185" s="3118"/>
      <c r="D185" s="3118"/>
      <c r="E185" s="3118"/>
      <c r="F185" s="3118"/>
      <c r="G185" s="3118"/>
      <c r="H185" s="3118"/>
      <c r="I185" s="3118"/>
      <c r="J185" s="3118"/>
      <c r="K185" s="3118"/>
      <c r="L185" s="3118"/>
      <c r="M185" s="3118"/>
    </row>
    <row r="186" spans="1:20">
      <c r="A186" s="3119" t="s">
        <v>2792</v>
      </c>
      <c r="B186" s="3120" t="s">
        <v>2588</v>
      </c>
      <c r="C186" s="3120" t="s">
        <v>2589</v>
      </c>
      <c r="D186" s="3120" t="s">
        <v>2590</v>
      </c>
      <c r="E186" s="3120" t="s">
        <v>2591</v>
      </c>
      <c r="F186" s="3120" t="s">
        <v>2592</v>
      </c>
      <c r="G186" s="3120" t="s">
        <v>2593</v>
      </c>
      <c r="H186" s="3121" t="s">
        <v>2594</v>
      </c>
      <c r="I186" s="3121" t="s">
        <v>2595</v>
      </c>
      <c r="J186" s="3122" t="s">
        <v>2596</v>
      </c>
      <c r="K186" s="3122" t="s">
        <v>2597</v>
      </c>
      <c r="L186" s="3122" t="s">
        <v>2598</v>
      </c>
      <c r="M186" s="3123" t="s">
        <v>2599</v>
      </c>
      <c r="Q186" s="3133" t="s">
        <v>2797</v>
      </c>
      <c r="R186" s="3133" t="s">
        <v>2798</v>
      </c>
      <c r="S186" s="3133" t="s">
        <v>2799</v>
      </c>
      <c r="T186" s="3133" t="s">
        <v>2800</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2795</v>
      </c>
      <c r="B277" s="3118"/>
      <c r="C277" s="3118"/>
      <c r="D277" s="3118"/>
      <c r="E277" s="3118"/>
      <c r="F277" s="3118"/>
      <c r="G277" s="3118"/>
      <c r="H277" s="3118"/>
      <c r="I277" s="3118"/>
      <c r="J277" s="3118"/>
      <c r="K277" s="3118"/>
      <c r="L277" s="3118"/>
      <c r="M277" s="3118"/>
    </row>
    <row r="278" spans="1:21">
      <c r="A278" s="3119" t="s">
        <v>2792</v>
      </c>
      <c r="B278" s="3120" t="s">
        <v>2588</v>
      </c>
      <c r="C278" s="3120" t="s">
        <v>2589</v>
      </c>
      <c r="D278" s="3120" t="s">
        <v>2590</v>
      </c>
      <c r="E278" s="3120" t="s">
        <v>2591</v>
      </c>
      <c r="F278" s="3120" t="s">
        <v>2592</v>
      </c>
      <c r="G278" s="3120" t="s">
        <v>2593</v>
      </c>
      <c r="H278" s="3121" t="s">
        <v>2594</v>
      </c>
      <c r="I278" s="3121" t="s">
        <v>2595</v>
      </c>
      <c r="J278" s="3122" t="s">
        <v>2596</v>
      </c>
      <c r="K278" s="3122" t="s">
        <v>2597</v>
      </c>
      <c r="L278" s="3122" t="s">
        <v>2598</v>
      </c>
      <c r="M278" s="3123" t="s">
        <v>2599</v>
      </c>
      <c r="Q278" s="3133" t="s">
        <v>2797</v>
      </c>
      <c r="R278" s="3133" t="s">
        <v>2798</v>
      </c>
      <c r="S278" s="3133" t="s">
        <v>2801</v>
      </c>
      <c r="T278" s="3133" t="s">
        <v>2802</v>
      </c>
      <c r="U278" s="3133" t="s">
        <v>2800</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2796</v>
      </c>
      <c r="B369" s="3131"/>
      <c r="C369" s="3131"/>
      <c r="D369" s="3131"/>
      <c r="E369" s="3131"/>
      <c r="F369" s="3131"/>
      <c r="G369" s="3131"/>
      <c r="H369" s="3131"/>
      <c r="I369" s="3131"/>
      <c r="J369" s="3131"/>
      <c r="K369" s="3131"/>
      <c r="L369" s="3131"/>
      <c r="M369" s="3131"/>
    </row>
    <row r="370" spans="1:20">
      <c r="A370" s="3119" t="s">
        <v>2792</v>
      </c>
      <c r="B370" s="3120" t="s">
        <v>2588</v>
      </c>
      <c r="C370" s="3120" t="s">
        <v>2589</v>
      </c>
      <c r="D370" s="3120" t="s">
        <v>2590</v>
      </c>
      <c r="E370" s="3120" t="s">
        <v>2591</v>
      </c>
      <c r="F370" s="3120" t="s">
        <v>2592</v>
      </c>
      <c r="G370" s="3120" t="s">
        <v>2593</v>
      </c>
      <c r="H370" s="3121" t="s">
        <v>2594</v>
      </c>
      <c r="I370" s="3121" t="s">
        <v>2595</v>
      </c>
      <c r="J370" s="3122" t="s">
        <v>2596</v>
      </c>
      <c r="K370" s="3122" t="s">
        <v>2597</v>
      </c>
      <c r="L370" s="3122" t="s">
        <v>2598</v>
      </c>
      <c r="M370" s="3123" t="s">
        <v>2599</v>
      </c>
      <c r="N370" s="748">
        <f>SUMPRODUCT((A371:A460=ROUNDDOWN(基准地价修正!G3,1))*(B370:M370=基准地价修正!G2)*(B371:M460))</f>
        <v>0</v>
      </c>
      <c r="Q370" s="3133" t="s">
        <v>2797</v>
      </c>
      <c r="R370" s="3133" t="s">
        <v>2798</v>
      </c>
      <c r="S370" s="3133" t="s">
        <v>2799</v>
      </c>
      <c r="T370" s="3133" t="s">
        <v>2800</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25284</v>
      </c>
      <c r="C2" s="2" t="s">
        <v>106</v>
      </c>
      <c r="D2" s="199"/>
      <c r="E2" s="199"/>
      <c r="F2" s="199"/>
      <c r="G2" s="199"/>
    </row>
    <row r="3" spans="1:7" s="200" customFormat="1" ht="18" customHeight="1" thickBot="1">
      <c r="A3" s="203" t="s">
        <v>58</v>
      </c>
      <c r="B3" s="204">
        <f ca="1">ROUND(B2*10000/'数据-汇总表'!E3,0)</f>
        <v>2406</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997</v>
      </c>
      <c r="D9" s="843">
        <f>'数据-汇总表'!E5</f>
        <v>62293.630000000019</v>
      </c>
      <c r="E9" s="225">
        <f>'数据-取费表'!B27</f>
        <v>160</v>
      </c>
      <c r="F9" s="221"/>
      <c r="G9" s="226"/>
    </row>
    <row r="10" spans="1:7" s="214" customFormat="1" ht="13.5" customHeight="1">
      <c r="A10" s="777" t="s">
        <v>356</v>
      </c>
      <c r="B10" s="224" t="s">
        <v>67</v>
      </c>
      <c r="C10" s="225">
        <f>ROUND(D10*E10/10000,0)</f>
        <v>856</v>
      </c>
      <c r="D10" s="843">
        <f>'数据-汇总表'!E6</f>
        <v>42813.649999999805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1892</v>
      </c>
      <c r="D19" s="847">
        <f>'数据-汇总表'!E3</f>
        <v>105107.27999999982</v>
      </c>
      <c r="E19" s="211">
        <f>'数据-取费表'!B31</f>
        <v>180</v>
      </c>
      <c r="F19" s="231"/>
      <c r="G19" s="1" t="s">
        <v>436</v>
      </c>
    </row>
    <row r="20" spans="1:7" s="214" customFormat="1" ht="13.5" customHeight="1">
      <c r="A20" s="775" t="s">
        <v>419</v>
      </c>
      <c r="B20" s="210" t="s">
        <v>77</v>
      </c>
      <c r="C20" s="232">
        <f>ROUND((C5+C19)*F20,0)</f>
        <v>675</v>
      </c>
      <c r="D20" s="232"/>
      <c r="E20" s="232"/>
      <c r="F20" s="233">
        <f>'数据-取费表'!B37</f>
        <v>0.03</v>
      </c>
      <c r="G20" s="1065" t="s">
        <v>430</v>
      </c>
    </row>
    <row r="21" spans="1:7" s="214" customFormat="1" ht="13.5" customHeight="1">
      <c r="A21" s="775" t="s">
        <v>421</v>
      </c>
      <c r="B21" s="210" t="s">
        <v>78</v>
      </c>
      <c r="C21" s="235">
        <f>F21</f>
        <v>0.03</v>
      </c>
      <c r="D21" s="236" t="s">
        <v>99</v>
      </c>
      <c r="E21" s="232"/>
      <c r="F21" s="233">
        <f>'数据-取费表'!B38</f>
        <v>0.03</v>
      </c>
      <c r="G21" s="234" t="s">
        <v>79</v>
      </c>
    </row>
    <row r="22" spans="1:7" s="214" customFormat="1" ht="13.5" customHeight="1">
      <c r="A22" s="775" t="s">
        <v>341</v>
      </c>
      <c r="B22" s="210" t="s">
        <v>80</v>
      </c>
      <c r="C22" s="1102">
        <f ca="1">ROUND(SUM(C23:C25),0)</f>
        <v>0</v>
      </c>
      <c r="D22" s="235">
        <f ca="1">C26</f>
        <v>0</v>
      </c>
      <c r="E22" s="236" t="s">
        <v>99</v>
      </c>
      <c r="F22" s="237">
        <f ca="1">'数据-取费表'!B40</f>
        <v>3.3500000000000002E-2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0</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0</v>
      </c>
      <c r="D25" s="238"/>
      <c r="E25" s="241"/>
      <c r="F25" s="239"/>
      <c r="G25" s="242" t="s">
        <v>83</v>
      </c>
    </row>
    <row r="26" spans="1:7" s="214" customFormat="1">
      <c r="A26" s="778" t="s">
        <v>350</v>
      </c>
      <c r="B26" s="215" t="s">
        <v>422</v>
      </c>
      <c r="C26" s="238">
        <f ca="1">ROUND(IF('数据-取费表'!B22&lt;=1,F21*F22*'数据-取费表'!B23/2,F21*(POWER((1+F22),'数据-取费表'!B23/2)-1)),4)</f>
        <v>0</v>
      </c>
      <c r="D26" s="238"/>
      <c r="E26" s="241"/>
      <c r="F26" s="239"/>
      <c r="G26" s="243"/>
    </row>
    <row r="27" spans="1:7" s="214" customFormat="1" ht="24.75">
      <c r="A27" s="775" t="s">
        <v>342</v>
      </c>
      <c r="B27" s="244" t="s">
        <v>85</v>
      </c>
      <c r="C27" s="245">
        <f>C28</f>
        <v>0</v>
      </c>
      <c r="D27" s="235">
        <f>C29</f>
        <v>0</v>
      </c>
      <c r="E27" s="236" t="s">
        <v>99</v>
      </c>
      <c r="F27" s="246">
        <f>'数据-取费表'!Q16</f>
        <v>0.14000000000000001</v>
      </c>
      <c r="G27" s="247" t="s">
        <v>431</v>
      </c>
    </row>
    <row r="28" spans="1:7" s="214" customFormat="1" ht="13.5" customHeight="1">
      <c r="A28" s="778" t="s">
        <v>349</v>
      </c>
      <c r="B28" s="248" t="s">
        <v>424</v>
      </c>
      <c r="C28" s="249">
        <f>ROUND((C5+C19+C20)*F27*'数据-取费表'!B21/'数据-取费表'!B20,0)</f>
        <v>0</v>
      </c>
      <c r="D28" s="235"/>
      <c r="E28" s="236"/>
      <c r="F28" s="246"/>
      <c r="G28" s="247"/>
    </row>
    <row r="29" spans="1:7" s="214" customFormat="1" ht="13.5" customHeight="1">
      <c r="A29" s="778" t="s">
        <v>347</v>
      </c>
      <c r="B29" s="248" t="s">
        <v>425</v>
      </c>
      <c r="C29" s="238">
        <f>ROUND(C21*F27*'数据-取费表'!B21/'数据-取费表'!B20,4)</f>
        <v>0</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25284</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0</v>
      </c>
      <c r="G34" s="219" t="s">
        <v>89</v>
      </c>
    </row>
    <row r="35" spans="1:7" ht="13.5" customHeight="1">
      <c r="A35" s="778" t="s">
        <v>351</v>
      </c>
      <c r="B35" s="215" t="s">
        <v>33</v>
      </c>
      <c r="C35" s="220">
        <f>ROUND(C34*F35,0)</f>
        <v>0</v>
      </c>
      <c r="D35" s="220"/>
      <c r="E35" s="220"/>
      <c r="F35" s="259">
        <f>'数据-取费表'!B33</f>
        <v>0.05</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0.03</v>
      </c>
      <c r="G36" s="260" t="s">
        <v>35</v>
      </c>
    </row>
    <row r="37" spans="1:7" s="258" customFormat="1" ht="13.5" customHeight="1">
      <c r="A37" s="778" t="s">
        <v>353</v>
      </c>
      <c r="B37" s="215" t="s">
        <v>91</v>
      </c>
      <c r="C37" s="249">
        <f>ROUND(E37*D37*F34/10000,0)</f>
        <v>0</v>
      </c>
      <c r="D37" s="217">
        <f>'数据-汇总表'!E3</f>
        <v>105107.27999999982</v>
      </c>
      <c r="E37" s="249">
        <f>'数据-取费表'!B35</f>
        <v>180</v>
      </c>
      <c r="F37" s="259"/>
      <c r="G37" s="261" t="s">
        <v>92</v>
      </c>
    </row>
    <row r="38" spans="1:7" ht="13.5" customHeight="1">
      <c r="A38" s="778" t="s">
        <v>354</v>
      </c>
      <c r="B38" s="215" t="s">
        <v>36</v>
      </c>
      <c r="C38" s="220">
        <f>ROUND(C34*F38,0)</f>
        <v>0</v>
      </c>
      <c r="D38" s="220"/>
      <c r="E38" s="220"/>
      <c r="F38" s="259">
        <f>'数据-取费表'!B36</f>
        <v>0.02</v>
      </c>
      <c r="G38" s="219" t="s">
        <v>90</v>
      </c>
    </row>
    <row r="39" spans="1:7" s="214" customFormat="1" ht="13.5" customHeight="1">
      <c r="A39" s="775" t="s">
        <v>338</v>
      </c>
      <c r="B39" s="210" t="s">
        <v>77</v>
      </c>
      <c r="C39" s="232">
        <f>ROUND(C33*F20,0)</f>
        <v>0</v>
      </c>
      <c r="D39" s="232"/>
      <c r="E39" s="232"/>
      <c r="F39" s="233"/>
      <c r="G39" s="1065" t="s">
        <v>433</v>
      </c>
    </row>
    <row r="40" spans="1:7" s="214" customFormat="1" ht="13.5" customHeight="1">
      <c r="A40" s="775" t="s">
        <v>339</v>
      </c>
      <c r="B40" s="210" t="s">
        <v>78</v>
      </c>
      <c r="C40" s="262">
        <f>F21</f>
        <v>0.03</v>
      </c>
      <c r="D40" s="236" t="s">
        <v>102</v>
      </c>
      <c r="E40" s="232"/>
      <c r="F40" s="233"/>
      <c r="G40" s="234" t="s">
        <v>93</v>
      </c>
    </row>
    <row r="41" spans="1:7" s="214" customFormat="1" ht="13.5" customHeight="1">
      <c r="A41" s="775" t="s">
        <v>340</v>
      </c>
      <c r="B41" s="210" t="s">
        <v>80</v>
      </c>
      <c r="C41" s="232">
        <f ca="1">ROUND(SUM(C42:C43),0)</f>
        <v>0</v>
      </c>
      <c r="D41" s="235">
        <f ca="1">C44</f>
        <v>0</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0</v>
      </c>
      <c r="D42" s="238"/>
      <c r="E42" s="238"/>
      <c r="F42" s="239"/>
      <c r="G42" s="3656" t="s">
        <v>94</v>
      </c>
    </row>
    <row r="43" spans="1:7" ht="13.5" customHeight="1">
      <c r="A43" s="778" t="s">
        <v>347</v>
      </c>
      <c r="B43" s="215" t="s">
        <v>426</v>
      </c>
      <c r="C43" s="238">
        <f ca="1">ROUND(IF('数据-取费表'!B22&lt;=1,C39*F22*'数据-取费表'!B21/2,C39*(POWER((1+F22),'数据-取费表'!B21/2)-1)),0)</f>
        <v>0</v>
      </c>
      <c r="D43" s="238"/>
      <c r="E43" s="238"/>
      <c r="F43" s="239"/>
      <c r="G43" s="3657"/>
    </row>
    <row r="44" spans="1:7" ht="13.5" customHeight="1">
      <c r="A44" s="778" t="s">
        <v>348</v>
      </c>
      <c r="B44" s="215" t="s">
        <v>428</v>
      </c>
      <c r="C44" s="238">
        <f ca="1">ROUND(IF('数据-取费表'!B22&lt;=1,C40*F22*'数据-取费表'!B21/2,C40*(POWER((1+F22),'数据-取费表'!B21/2)-1)),4)</f>
        <v>0</v>
      </c>
      <c r="D44" s="238"/>
      <c r="E44" s="238"/>
      <c r="F44" s="239"/>
      <c r="G44" s="3658"/>
    </row>
    <row r="45" spans="1:7" s="214" customFormat="1" ht="13.5" customHeight="1">
      <c r="A45" s="775" t="s">
        <v>341</v>
      </c>
      <c r="B45" s="244" t="s">
        <v>85</v>
      </c>
      <c r="C45" s="245">
        <f>C46</f>
        <v>0</v>
      </c>
      <c r="D45" s="235">
        <f>C47</f>
        <v>4.1999999999999997E-3</v>
      </c>
      <c r="E45" s="236" t="s">
        <v>102</v>
      </c>
      <c r="F45" s="246"/>
      <c r="G45" s="247" t="s">
        <v>434</v>
      </c>
    </row>
    <row r="46" spans="1:7" s="214" customFormat="1" ht="13.5" customHeight="1">
      <c r="A46" s="778" t="s">
        <v>349</v>
      </c>
      <c r="B46" s="248" t="s">
        <v>427</v>
      </c>
      <c r="C46" s="249">
        <f>ROUND((C33+C39)*F27,0)</f>
        <v>0</v>
      </c>
      <c r="D46" s="263"/>
      <c r="E46" s="236"/>
      <c r="F46" s="246"/>
      <c r="G46" s="247"/>
    </row>
    <row r="47" spans="1:7" s="214" customFormat="1" ht="13.5" customHeight="1">
      <c r="A47" s="778" t="s">
        <v>347</v>
      </c>
      <c r="B47" s="248" t="s">
        <v>429</v>
      </c>
      <c r="C47" s="238">
        <f>ROUND(C40*F27,4)</f>
        <v>4.1999999999999997E-3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0</v>
      </c>
      <c r="D49" s="232"/>
      <c r="E49" s="232"/>
      <c r="F49" s="264"/>
      <c r="G49" s="234" t="s">
        <v>435</v>
      </c>
    </row>
    <row r="50" spans="1:7" s="258" customFormat="1" ht="24">
      <c r="A50" s="775" t="s">
        <v>344</v>
      </c>
      <c r="B50" s="210" t="s">
        <v>97</v>
      </c>
      <c r="C50" s="232"/>
      <c r="D50" s="232"/>
      <c r="E50" s="232"/>
      <c r="F50" s="264">
        <f>IF('数据-取费表'!B24=0,'数据-取费表'!N16,1)</f>
        <v>1</v>
      </c>
      <c r="G50" s="247" t="s">
        <v>98</v>
      </c>
    </row>
    <row r="51" spans="1:7" ht="16.5" customHeight="1">
      <c r="A51" s="775" t="s">
        <v>345</v>
      </c>
      <c r="B51" s="210" t="s">
        <v>105</v>
      </c>
      <c r="C51" s="232">
        <f ca="1">ROUND(C49*F50,0)</f>
        <v>0</v>
      </c>
      <c r="D51" s="232"/>
      <c r="E51" s="232"/>
      <c r="F51" s="264"/>
      <c r="G51" s="234" t="s">
        <v>37</v>
      </c>
    </row>
    <row r="52" spans="1:7" s="208" customFormat="1" ht="16.5" thickBot="1">
      <c r="A52" s="265" t="s">
        <v>38</v>
      </c>
      <c r="B52" s="266"/>
      <c r="C52" s="267">
        <f ca="1">C31+C51</f>
        <v>25284</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795" t="s">
        <v>2832</v>
      </c>
      <c r="B1" s="3795"/>
      <c r="C1" s="3795"/>
      <c r="D1" s="3795"/>
      <c r="E1" s="3795"/>
      <c r="F1" s="3795"/>
      <c r="G1" s="3796"/>
      <c r="I1" s="3214" t="s">
        <v>2833</v>
      </c>
      <c r="J1" s="3215" t="s">
        <v>2834</v>
      </c>
      <c r="K1" s="3215" t="s">
        <v>2835</v>
      </c>
      <c r="L1" s="3215" t="s">
        <v>2836</v>
      </c>
      <c r="M1" s="3215" t="s">
        <v>2837</v>
      </c>
      <c r="N1" s="3215" t="s">
        <v>2838</v>
      </c>
      <c r="O1" s="3215" t="s">
        <v>2839</v>
      </c>
      <c r="P1" s="3215" t="s">
        <v>2840</v>
      </c>
      <c r="Q1" s="3215" t="s">
        <v>2841</v>
      </c>
      <c r="R1" s="3215" t="s">
        <v>2842</v>
      </c>
      <c r="S1" s="3215" t="s">
        <v>2843</v>
      </c>
      <c r="T1" s="3216" t="s">
        <v>2844</v>
      </c>
    </row>
    <row r="2" spans="1:20" ht="12" thickBot="1">
      <c r="A2" s="3218" t="s">
        <v>2845</v>
      </c>
      <c r="B2" s="3218"/>
      <c r="C2" s="3218"/>
      <c r="D2" s="3218"/>
      <c r="E2" s="3218"/>
      <c r="F2" s="3218"/>
      <c r="G2" s="3219" t="s">
        <v>2846</v>
      </c>
      <c r="I2" s="3220" t="s">
        <v>2847</v>
      </c>
      <c r="J2" s="3220" t="s">
        <v>2848</v>
      </c>
      <c r="K2" s="3220" t="s">
        <v>2849</v>
      </c>
      <c r="L2" s="3220" t="s">
        <v>2850</v>
      </c>
      <c r="M2" s="3220" t="s">
        <v>2851</v>
      </c>
      <c r="N2" s="3220" t="s">
        <v>2852</v>
      </c>
      <c r="O2" s="3220" t="s">
        <v>2853</v>
      </c>
      <c r="P2" s="3220" t="s">
        <v>2854</v>
      </c>
      <c r="Q2" s="3220" t="s">
        <v>2855</v>
      </c>
      <c r="R2" s="3220" t="s">
        <v>2856</v>
      </c>
      <c r="S2" s="3220" t="s">
        <v>2857</v>
      </c>
      <c r="T2" s="3220" t="s">
        <v>2858</v>
      </c>
    </row>
    <row r="3" spans="1:20" s="3226" customFormat="1">
      <c r="A3" s="3793" t="s">
        <v>2859</v>
      </c>
      <c r="B3" s="3221"/>
      <c r="C3" s="3222" t="s">
        <v>2804</v>
      </c>
      <c r="D3" s="3222" t="s">
        <v>2860</v>
      </c>
      <c r="E3" s="3222" t="s">
        <v>2806</v>
      </c>
      <c r="F3" s="3222" t="s">
        <v>2861</v>
      </c>
      <c r="G3" s="3222" t="s">
        <v>2624</v>
      </c>
      <c r="H3" s="3223"/>
      <c r="I3" s="3224" t="s">
        <v>2862</v>
      </c>
      <c r="J3" s="3225" t="s">
        <v>128</v>
      </c>
      <c r="K3" s="3225" t="s">
        <v>129</v>
      </c>
      <c r="L3" s="3224" t="s">
        <v>130</v>
      </c>
      <c r="M3" s="3224" t="s">
        <v>131</v>
      </c>
      <c r="N3" s="3224" t="s">
        <v>132</v>
      </c>
      <c r="O3" s="3224" t="s">
        <v>133</v>
      </c>
      <c r="P3" s="3224" t="s">
        <v>134</v>
      </c>
      <c r="Q3" s="3224" t="s">
        <v>135</v>
      </c>
      <c r="R3" s="3224" t="s">
        <v>136</v>
      </c>
      <c r="S3" s="3224" t="s">
        <v>2863</v>
      </c>
      <c r="T3" s="3224" t="s">
        <v>2864</v>
      </c>
    </row>
    <row r="4" spans="1:20" s="3226" customFormat="1" ht="12" thickBot="1">
      <c r="A4" s="3794"/>
      <c r="B4" s="3227" t="s">
        <v>2865</v>
      </c>
      <c r="C4" s="3227" t="s">
        <v>2866</v>
      </c>
      <c r="D4" s="3227" t="s">
        <v>2866</v>
      </c>
      <c r="E4" s="3227" t="s">
        <v>2866</v>
      </c>
      <c r="F4" s="3228" t="s">
        <v>2866</v>
      </c>
      <c r="G4" s="3228" t="s">
        <v>2866</v>
      </c>
      <c r="H4" s="3223"/>
      <c r="I4" s="3225" t="s">
        <v>137</v>
      </c>
      <c r="J4" s="3225" t="s">
        <v>111</v>
      </c>
      <c r="K4" s="3225" t="s">
        <v>138</v>
      </c>
      <c r="L4" s="3224" t="s">
        <v>139</v>
      </c>
      <c r="M4" s="3224" t="s">
        <v>140</v>
      </c>
      <c r="N4" s="3224" t="s">
        <v>141</v>
      </c>
      <c r="O4" s="3224" t="s">
        <v>142</v>
      </c>
      <c r="P4" s="3224" t="s">
        <v>143</v>
      </c>
      <c r="Q4" s="3224" t="s">
        <v>2867</v>
      </c>
      <c r="R4" s="3224" t="s">
        <v>2868</v>
      </c>
      <c r="S4" s="3224" t="s">
        <v>2869</v>
      </c>
      <c r="T4" s="3224" t="s">
        <v>2870</v>
      </c>
    </row>
    <row r="5" spans="1:20">
      <c r="A5" s="3229" t="s">
        <v>2833</v>
      </c>
      <c r="B5" s="3220" t="s">
        <v>2847</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2871</v>
      </c>
      <c r="R5" s="3224" t="s">
        <v>2872</v>
      </c>
      <c r="S5" s="3224" t="s">
        <v>153</v>
      </c>
      <c r="T5" s="3224" t="s">
        <v>2873</v>
      </c>
    </row>
    <row r="6" spans="1:20" ht="12" thickBot="1">
      <c r="A6" s="3224" t="s">
        <v>144</v>
      </c>
      <c r="B6" s="3224" t="s">
        <v>2862</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2874</v>
      </c>
      <c r="Q6" s="3224" t="s">
        <v>2875</v>
      </c>
      <c r="R6" s="3224" t="s">
        <v>161</v>
      </c>
      <c r="S6" s="3224" t="s">
        <v>2876</v>
      </c>
      <c r="T6" s="3224" t="s">
        <v>2877</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2878</v>
      </c>
      <c r="Q7" s="3224" t="s">
        <v>2879</v>
      </c>
      <c r="R7" s="3224" t="s">
        <v>2880</v>
      </c>
      <c r="S7" s="3224" t="s">
        <v>2881</v>
      </c>
      <c r="T7" s="3224" t="s">
        <v>2882</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2883</v>
      </c>
      <c r="Q8" s="3224" t="s">
        <v>174</v>
      </c>
      <c r="R8" s="3224" t="s">
        <v>2884</v>
      </c>
      <c r="S8" s="3224" t="s">
        <v>2885</v>
      </c>
      <c r="T8" s="3231" t="s">
        <v>2886</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2887</v>
      </c>
      <c r="Q9" s="3224" t="s">
        <v>182</v>
      </c>
      <c r="R9" s="3224" t="s">
        <v>183</v>
      </c>
      <c r="S9" s="3224" t="s">
        <v>200</v>
      </c>
    </row>
    <row r="10" spans="1:20">
      <c r="A10" s="3229" t="s">
        <v>184</v>
      </c>
      <c r="B10" s="3220" t="s">
        <v>2848</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2888</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2889</v>
      </c>
      <c r="P11" s="3224" t="s">
        <v>191</v>
      </c>
      <c r="Q11" s="3224" t="s">
        <v>199</v>
      </c>
      <c r="R11" s="3224" t="s">
        <v>2890</v>
      </c>
      <c r="S11" s="3224" t="s">
        <v>2891</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2892</v>
      </c>
      <c r="P12" s="3224" t="s">
        <v>2893</v>
      </c>
      <c r="Q12" s="3224" t="s">
        <v>2894</v>
      </c>
      <c r="R12" s="3224" t="s">
        <v>2895</v>
      </c>
      <c r="S12" s="3224" t="s">
        <v>2896</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2897</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2898</v>
      </c>
      <c r="K14" s="3225" t="s">
        <v>215</v>
      </c>
      <c r="L14" s="3224" t="s">
        <v>216</v>
      </c>
      <c r="M14" s="3224" t="s">
        <v>217</v>
      </c>
      <c r="N14" s="3224" t="s">
        <v>218</v>
      </c>
      <c r="O14" s="3224" t="s">
        <v>240</v>
      </c>
      <c r="P14" s="3224" t="s">
        <v>213</v>
      </c>
      <c r="Q14" s="3224" t="s">
        <v>2899</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2900</v>
      </c>
      <c r="P15" s="3224" t="s">
        <v>2901</v>
      </c>
      <c r="Q15" s="3224" t="s">
        <v>242</v>
      </c>
      <c r="R15" s="3224" t="s">
        <v>2902</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2903</v>
      </c>
      <c r="P16" s="3224" t="s">
        <v>227</v>
      </c>
      <c r="Q16" s="3224" t="s">
        <v>250</v>
      </c>
      <c r="R16" s="3224" t="s">
        <v>207</v>
      </c>
      <c r="S16" s="3224" t="s">
        <v>2904</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2905</v>
      </c>
      <c r="P17" s="3224" t="s">
        <v>2906</v>
      </c>
      <c r="Q17" s="3224" t="s">
        <v>256</v>
      </c>
      <c r="R17" s="3224" t="s">
        <v>2907</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2908</v>
      </c>
      <c r="P18" s="3224" t="s">
        <v>241</v>
      </c>
      <c r="Q18" s="3224" t="s">
        <v>2909</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2910</v>
      </c>
      <c r="P19" s="3224" t="s">
        <v>249</v>
      </c>
      <c r="Q19" s="3224" t="s">
        <v>2911</v>
      </c>
      <c r="R19" s="3224" t="s">
        <v>265</v>
      </c>
      <c r="S19" s="3224" t="s">
        <v>2912</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2913</v>
      </c>
      <c r="P20" s="3224" t="s">
        <v>2914</v>
      </c>
      <c r="Q20" s="3224" t="s">
        <v>290</v>
      </c>
      <c r="R20" s="3224" t="s">
        <v>2915</v>
      </c>
      <c r="S20" s="3224" t="s">
        <v>277</v>
      </c>
    </row>
    <row r="21" spans="1:19" ht="14.25" customHeight="1" thickBot="1">
      <c r="A21" s="3224" t="s">
        <v>184</v>
      </c>
      <c r="B21" s="3225" t="s">
        <v>208</v>
      </c>
      <c r="C21" s="3224">
        <v>32370</v>
      </c>
      <c r="D21" s="3224">
        <v>26730</v>
      </c>
      <c r="E21" s="3224">
        <v>26640</v>
      </c>
      <c r="F21" s="3224"/>
      <c r="G21" s="3224">
        <v>19440</v>
      </c>
      <c r="J21" s="3231" t="s">
        <v>2916</v>
      </c>
      <c r="K21" s="3225" t="s">
        <v>267</v>
      </c>
      <c r="L21" s="3224" t="s">
        <v>268</v>
      </c>
      <c r="M21" s="3224" t="s">
        <v>269</v>
      </c>
      <c r="N21" s="3224" t="s">
        <v>270</v>
      </c>
      <c r="O21" s="3224" t="s">
        <v>264</v>
      </c>
      <c r="P21" s="3224" t="s">
        <v>283</v>
      </c>
      <c r="Q21" s="3224" t="s">
        <v>293</v>
      </c>
      <c r="R21" s="3224" t="s">
        <v>2917</v>
      </c>
      <c r="S21" s="3231" t="s">
        <v>2918</v>
      </c>
    </row>
    <row r="22" spans="1:19" ht="14.25" customHeight="1">
      <c r="A22" s="3224" t="s">
        <v>184</v>
      </c>
      <c r="B22" s="3225" t="s">
        <v>2898</v>
      </c>
      <c r="C22" s="3224">
        <v>29830</v>
      </c>
      <c r="D22" s="3224">
        <v>27600</v>
      </c>
      <c r="E22" s="3224">
        <v>28150</v>
      </c>
      <c r="F22" s="3224"/>
      <c r="G22" s="3224">
        <v>20080</v>
      </c>
      <c r="K22" s="3225" t="s">
        <v>2919</v>
      </c>
      <c r="L22" s="3224" t="s">
        <v>272</v>
      </c>
      <c r="M22" s="3224" t="s">
        <v>273</v>
      </c>
      <c r="N22" s="3224" t="s">
        <v>274</v>
      </c>
      <c r="O22" s="3224" t="s">
        <v>2920</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2921</v>
      </c>
      <c r="L23" s="3224" t="s">
        <v>278</v>
      </c>
      <c r="M23" s="3224" t="s">
        <v>279</v>
      </c>
      <c r="N23" s="3224" t="s">
        <v>2922</v>
      </c>
      <c r="O23" s="3224" t="s">
        <v>2923</v>
      </c>
      <c r="P23" s="3224" t="s">
        <v>289</v>
      </c>
      <c r="Q23" s="3224" t="s">
        <v>298</v>
      </c>
      <c r="R23" s="3224" t="s">
        <v>2924</v>
      </c>
    </row>
    <row r="24" spans="1:19" ht="14.25" customHeight="1">
      <c r="A24" s="3224" t="s">
        <v>184</v>
      </c>
      <c r="B24" s="3225" t="s">
        <v>230</v>
      </c>
      <c r="C24" s="3224">
        <v>27930</v>
      </c>
      <c r="D24" s="3224">
        <v>32260</v>
      </c>
      <c r="E24" s="3224">
        <v>32120</v>
      </c>
      <c r="F24" s="3224"/>
      <c r="G24" s="3224">
        <v>23470</v>
      </c>
      <c r="K24" s="3225" t="s">
        <v>2925</v>
      </c>
      <c r="L24" s="3224" t="s">
        <v>281</v>
      </c>
      <c r="M24" s="3224" t="s">
        <v>282</v>
      </c>
      <c r="N24" s="3224" t="s">
        <v>2926</v>
      </c>
      <c r="O24" s="3224" t="s">
        <v>285</v>
      </c>
      <c r="P24" s="3224" t="s">
        <v>2927</v>
      </c>
      <c r="Q24" s="3233" t="s">
        <v>2928</v>
      </c>
      <c r="R24" s="3224" t="s">
        <v>2929</v>
      </c>
    </row>
    <row r="25" spans="1:19" ht="14.25" customHeight="1">
      <c r="A25" s="3224" t="s">
        <v>184</v>
      </c>
      <c r="B25" s="3225" t="s">
        <v>235</v>
      </c>
      <c r="C25" s="3224">
        <v>32230</v>
      </c>
      <c r="D25" s="3224">
        <v>29640</v>
      </c>
      <c r="E25" s="3224">
        <v>29510</v>
      </c>
      <c r="F25" s="3224"/>
      <c r="G25" s="3224">
        <v>21560</v>
      </c>
      <c r="K25" s="3225" t="s">
        <v>2930</v>
      </c>
      <c r="L25" s="3224" t="s">
        <v>2931</v>
      </c>
      <c r="M25" s="3224" t="s">
        <v>284</v>
      </c>
      <c r="N25" s="3224" t="s">
        <v>292</v>
      </c>
      <c r="O25" s="3224" t="s">
        <v>288</v>
      </c>
      <c r="P25" s="3224" t="s">
        <v>275</v>
      </c>
      <c r="Q25" s="3233" t="s">
        <v>271</v>
      </c>
      <c r="R25" s="3224" t="s">
        <v>2932</v>
      </c>
    </row>
    <row r="26" spans="1:19" ht="14.25" customHeight="1" thickBot="1">
      <c r="A26" s="3224" t="s">
        <v>184</v>
      </c>
      <c r="B26" s="3225" t="s">
        <v>244</v>
      </c>
      <c r="C26" s="3224">
        <v>31690</v>
      </c>
      <c r="D26" s="3224">
        <v>27650</v>
      </c>
      <c r="E26" s="3224">
        <v>28200</v>
      </c>
      <c r="F26" s="3224"/>
      <c r="G26" s="3224">
        <v>20110</v>
      </c>
      <c r="K26" s="3230" t="s">
        <v>2933</v>
      </c>
      <c r="L26" s="3224" t="s">
        <v>2934</v>
      </c>
      <c r="M26" s="3224" t="s">
        <v>287</v>
      </c>
      <c r="N26" s="3224" t="s">
        <v>294</v>
      </c>
      <c r="O26" s="3224" t="s">
        <v>2935</v>
      </c>
      <c r="P26" s="3224" t="s">
        <v>2936</v>
      </c>
      <c r="Q26" s="3233" t="s">
        <v>276</v>
      </c>
      <c r="R26" s="3224" t="s">
        <v>2937</v>
      </c>
    </row>
    <row r="27" spans="1:19" ht="14.25" customHeight="1">
      <c r="A27" s="3224" t="s">
        <v>184</v>
      </c>
      <c r="B27" s="3225" t="s">
        <v>251</v>
      </c>
      <c r="C27" s="3224">
        <v>29610</v>
      </c>
      <c r="D27" s="3224">
        <v>27770</v>
      </c>
      <c r="E27" s="3224">
        <v>28300</v>
      </c>
      <c r="F27" s="3224"/>
      <c r="G27" s="3224">
        <v>20210</v>
      </c>
      <c r="L27" s="3224" t="s">
        <v>2938</v>
      </c>
      <c r="M27" s="3224" t="s">
        <v>291</v>
      </c>
      <c r="N27" s="3224" t="s">
        <v>297</v>
      </c>
      <c r="O27" s="3224" t="s">
        <v>2939</v>
      </c>
      <c r="P27" s="3224" t="s">
        <v>2940</v>
      </c>
      <c r="Q27" s="3224" t="s">
        <v>2941</v>
      </c>
      <c r="R27" s="3224" t="s">
        <v>2942</v>
      </c>
    </row>
    <row r="28" spans="1:19" ht="14.25" customHeight="1">
      <c r="A28" s="3224" t="s">
        <v>184</v>
      </c>
      <c r="B28" s="3225" t="s">
        <v>259</v>
      </c>
      <c r="C28" s="3224"/>
      <c r="D28" s="3224">
        <v>31520</v>
      </c>
      <c r="E28" s="3224">
        <v>31410</v>
      </c>
      <c r="F28" s="3224"/>
      <c r="G28" s="3224">
        <v>22940</v>
      </c>
      <c r="L28" s="3224" t="s">
        <v>2943</v>
      </c>
      <c r="M28" s="3224" t="s">
        <v>2944</v>
      </c>
      <c r="N28" s="3224" t="s">
        <v>2945</v>
      </c>
      <c r="O28" s="3224" t="s">
        <v>2946</v>
      </c>
      <c r="P28" s="3224" t="s">
        <v>2947</v>
      </c>
      <c r="Q28" s="3224" t="s">
        <v>2948</v>
      </c>
      <c r="R28" s="3224" t="s">
        <v>2949</v>
      </c>
    </row>
    <row r="29" spans="1:19" ht="14.25" customHeight="1" thickBot="1">
      <c r="A29" s="3232" t="s">
        <v>184</v>
      </c>
      <c r="B29" s="3234" t="s">
        <v>2916</v>
      </c>
      <c r="C29" s="3235"/>
      <c r="D29" s="3235">
        <v>29460</v>
      </c>
      <c r="E29" s="3235">
        <v>28640</v>
      </c>
      <c r="F29" s="3235"/>
      <c r="G29" s="3235">
        <v>21430</v>
      </c>
      <c r="L29" s="3224" t="s">
        <v>2950</v>
      </c>
      <c r="M29" s="3224" t="s">
        <v>2951</v>
      </c>
      <c r="N29" s="3224" t="s">
        <v>2952</v>
      </c>
      <c r="O29" s="3224" t="s">
        <v>2953</v>
      </c>
      <c r="P29" s="3224" t="s">
        <v>2954</v>
      </c>
      <c r="Q29" s="3224" t="s">
        <v>2955</v>
      </c>
      <c r="R29" s="3224" t="s">
        <v>280</v>
      </c>
    </row>
    <row r="30" spans="1:19" ht="14.25" customHeight="1">
      <c r="A30" s="3229" t="s">
        <v>296</v>
      </c>
      <c r="B30" s="3220" t="s">
        <v>2849</v>
      </c>
      <c r="C30" s="3220">
        <v>26890</v>
      </c>
      <c r="D30" s="3220">
        <v>26770</v>
      </c>
      <c r="E30" s="3220">
        <v>25700</v>
      </c>
      <c r="F30" s="3220">
        <v>8180</v>
      </c>
      <c r="G30" s="3236">
        <v>18740</v>
      </c>
      <c r="L30" s="3224" t="s">
        <v>2956</v>
      </c>
      <c r="M30" s="3224" t="s">
        <v>2957</v>
      </c>
      <c r="N30" s="3224" t="s">
        <v>2958</v>
      </c>
      <c r="O30" s="3224" t="s">
        <v>2959</v>
      </c>
      <c r="P30" s="3224" t="s">
        <v>2960</v>
      </c>
      <c r="Q30" s="3224" t="s">
        <v>2961</v>
      </c>
      <c r="R30" s="3224" t="s">
        <v>2962</v>
      </c>
    </row>
    <row r="31" spans="1:19" ht="14.25" customHeight="1">
      <c r="A31" s="3224" t="s">
        <v>296</v>
      </c>
      <c r="B31" s="3225" t="s">
        <v>129</v>
      </c>
      <c r="C31" s="3224">
        <v>24550</v>
      </c>
      <c r="D31" s="3224">
        <v>23990</v>
      </c>
      <c r="E31" s="3224">
        <v>22930</v>
      </c>
      <c r="F31" s="3224">
        <v>7470</v>
      </c>
      <c r="G31" s="3237">
        <v>16790</v>
      </c>
      <c r="L31" s="3224" t="s">
        <v>2963</v>
      </c>
      <c r="M31" s="3224" t="s">
        <v>2964</v>
      </c>
      <c r="N31" s="3224" t="s">
        <v>2965</v>
      </c>
      <c r="O31" s="3224" t="s">
        <v>2966</v>
      </c>
      <c r="P31" s="3224" t="s">
        <v>2967</v>
      </c>
      <c r="Q31" s="3224" t="s">
        <v>2968</v>
      </c>
      <c r="R31" s="3224" t="s">
        <v>2969</v>
      </c>
    </row>
    <row r="32" spans="1:19" ht="14.25" customHeight="1" thickBot="1">
      <c r="A32" s="3224" t="s">
        <v>296</v>
      </c>
      <c r="B32" s="3225" t="s">
        <v>138</v>
      </c>
      <c r="C32" s="3224">
        <v>27210</v>
      </c>
      <c r="D32" s="3224">
        <v>23240</v>
      </c>
      <c r="E32" s="3224">
        <v>23260</v>
      </c>
      <c r="F32" s="3224">
        <v>7130</v>
      </c>
      <c r="G32" s="3237">
        <v>16270</v>
      </c>
      <c r="L32" s="3224" t="s">
        <v>2970</v>
      </c>
      <c r="M32" s="3224" t="s">
        <v>2971</v>
      </c>
      <c r="N32" s="3224" t="s">
        <v>300</v>
      </c>
      <c r="O32" s="3224" t="s">
        <v>2972</v>
      </c>
      <c r="P32" s="3224" t="s">
        <v>299</v>
      </c>
      <c r="Q32" s="3224" t="s">
        <v>2973</v>
      </c>
      <c r="R32" s="3231" t="s">
        <v>2974</v>
      </c>
    </row>
    <row r="33" spans="1:17" ht="14.25" customHeight="1" thickBot="1">
      <c r="A33" s="3224" t="s">
        <v>296</v>
      </c>
      <c r="B33" s="3225" t="s">
        <v>147</v>
      </c>
      <c r="C33" s="3224">
        <v>27300</v>
      </c>
      <c r="D33" s="3224">
        <v>22980</v>
      </c>
      <c r="E33" s="3224">
        <v>24260</v>
      </c>
      <c r="F33" s="3224">
        <v>5860</v>
      </c>
      <c r="G33" s="3237">
        <v>16090</v>
      </c>
      <c r="L33" s="3231" t="s">
        <v>2975</v>
      </c>
      <c r="M33" s="3224" t="s">
        <v>2976</v>
      </c>
      <c r="N33" s="3224" t="s">
        <v>301</v>
      </c>
      <c r="O33" s="3224" t="s">
        <v>2977</v>
      </c>
      <c r="P33" s="3224" t="s">
        <v>2978</v>
      </c>
      <c r="Q33" s="3224" t="s">
        <v>2979</v>
      </c>
    </row>
    <row r="34" spans="1:17" ht="14.25" customHeight="1">
      <c r="A34" s="3224" t="s">
        <v>296</v>
      </c>
      <c r="B34" s="3225" t="s">
        <v>156</v>
      </c>
      <c r="C34" s="3224">
        <v>23090</v>
      </c>
      <c r="D34" s="3224">
        <v>23390</v>
      </c>
      <c r="E34" s="3224">
        <v>23510</v>
      </c>
      <c r="F34" s="3224">
        <v>6700</v>
      </c>
      <c r="G34" s="3237">
        <v>16370</v>
      </c>
      <c r="M34" s="3224" t="s">
        <v>2980</v>
      </c>
      <c r="N34" s="3224" t="s">
        <v>302</v>
      </c>
      <c r="O34" s="3224" t="s">
        <v>2981</v>
      </c>
      <c r="P34" s="3224" t="s">
        <v>2982</v>
      </c>
      <c r="Q34" s="3224" t="s">
        <v>2983</v>
      </c>
    </row>
    <row r="35" spans="1:17" ht="14.25" customHeight="1">
      <c r="A35" s="3224" t="s">
        <v>296</v>
      </c>
      <c r="B35" s="3225" t="s">
        <v>163</v>
      </c>
      <c r="C35" s="3224">
        <v>27270</v>
      </c>
      <c r="D35" s="3224">
        <v>24270</v>
      </c>
      <c r="E35" s="3224">
        <v>24950</v>
      </c>
      <c r="F35" s="3224">
        <v>6600</v>
      </c>
      <c r="G35" s="3237">
        <v>16990</v>
      </c>
      <c r="M35" s="3224" t="s">
        <v>2984</v>
      </c>
      <c r="N35" s="3224" t="s">
        <v>2985</v>
      </c>
      <c r="O35" s="3224" t="s">
        <v>2986</v>
      </c>
      <c r="P35" s="3224" t="s">
        <v>2987</v>
      </c>
      <c r="Q35" s="3224" t="s">
        <v>2988</v>
      </c>
    </row>
    <row r="36" spans="1:17" ht="14.25" customHeight="1">
      <c r="A36" s="3224" t="s">
        <v>296</v>
      </c>
      <c r="B36" s="3225" t="s">
        <v>169</v>
      </c>
      <c r="C36" s="3224">
        <v>23490</v>
      </c>
      <c r="D36" s="3224">
        <v>23020</v>
      </c>
      <c r="E36" s="3224">
        <v>25230</v>
      </c>
      <c r="F36" s="3224">
        <v>6780</v>
      </c>
      <c r="G36" s="3237">
        <v>16120</v>
      </c>
      <c r="M36" s="3224" t="s">
        <v>2989</v>
      </c>
      <c r="N36" s="3224" t="s">
        <v>2990</v>
      </c>
      <c r="O36" s="3224" t="s">
        <v>2991</v>
      </c>
      <c r="P36" s="3224" t="s">
        <v>2992</v>
      </c>
      <c r="Q36" s="3224" t="s">
        <v>2993</v>
      </c>
    </row>
    <row r="37" spans="1:17" ht="14.25" customHeight="1">
      <c r="A37" s="3224" t="s">
        <v>296</v>
      </c>
      <c r="B37" s="3225" t="s">
        <v>176</v>
      </c>
      <c r="C37" s="3224">
        <v>24380</v>
      </c>
      <c r="D37" s="3224">
        <v>22240</v>
      </c>
      <c r="E37" s="3224">
        <v>25980</v>
      </c>
      <c r="F37" s="3224">
        <v>8160</v>
      </c>
      <c r="G37" s="3237">
        <v>15570</v>
      </c>
      <c r="M37" s="3224" t="s">
        <v>2994</v>
      </c>
      <c r="N37" s="3224" t="s">
        <v>2995</v>
      </c>
      <c r="O37" s="3224" t="s">
        <v>2996</v>
      </c>
      <c r="P37" s="3224" t="s">
        <v>2997</v>
      </c>
      <c r="Q37" s="3224" t="s">
        <v>2998</v>
      </c>
    </row>
    <row r="38" spans="1:17" ht="14.25" customHeight="1">
      <c r="A38" s="3224" t="s">
        <v>296</v>
      </c>
      <c r="B38" s="3225" t="s">
        <v>186</v>
      </c>
      <c r="C38" s="3224">
        <v>23120</v>
      </c>
      <c r="D38" s="3224">
        <v>24630</v>
      </c>
      <c r="E38" s="3224">
        <v>25030</v>
      </c>
      <c r="F38" s="3224">
        <v>7710</v>
      </c>
      <c r="G38" s="3237">
        <v>17240</v>
      </c>
      <c r="M38" s="3224" t="s">
        <v>2999</v>
      </c>
      <c r="N38" s="3224" t="s">
        <v>3000</v>
      </c>
      <c r="O38" s="3224" t="s">
        <v>3001</v>
      </c>
      <c r="P38" s="3224" t="s">
        <v>3002</v>
      </c>
      <c r="Q38" s="3224" t="s">
        <v>3003</v>
      </c>
    </row>
    <row r="39" spans="1:17" ht="14.25" customHeight="1">
      <c r="A39" s="3224" t="s">
        <v>296</v>
      </c>
      <c r="B39" s="3225" t="s">
        <v>195</v>
      </c>
      <c r="C39" s="3224">
        <v>22330</v>
      </c>
      <c r="D39" s="3224">
        <v>21140</v>
      </c>
      <c r="E39" s="3224">
        <v>23970</v>
      </c>
      <c r="F39" s="3224">
        <v>7940</v>
      </c>
      <c r="G39" s="3237">
        <v>14790</v>
      </c>
      <c r="M39" s="3224" t="s">
        <v>3004</v>
      </c>
      <c r="N39" s="3224" t="s">
        <v>3005</v>
      </c>
      <c r="O39" s="3224" t="s">
        <v>3006</v>
      </c>
      <c r="P39" s="3224" t="s">
        <v>3007</v>
      </c>
      <c r="Q39" s="3224" t="s">
        <v>3008</v>
      </c>
    </row>
    <row r="40" spans="1:17" ht="14.25" customHeight="1">
      <c r="A40" s="3224" t="s">
        <v>296</v>
      </c>
      <c r="B40" s="3225" t="s">
        <v>202</v>
      </c>
      <c r="C40" s="3224">
        <v>24740</v>
      </c>
      <c r="D40" s="3224">
        <v>24690</v>
      </c>
      <c r="E40" s="3224">
        <v>22610</v>
      </c>
      <c r="F40" s="3224"/>
      <c r="G40" s="3237">
        <v>17280</v>
      </c>
      <c r="M40" s="3224" t="s">
        <v>3009</v>
      </c>
      <c r="N40" s="3224" t="s">
        <v>3010</v>
      </c>
      <c r="O40" s="3224" t="s">
        <v>3011</v>
      </c>
      <c r="P40" s="3224" t="s">
        <v>3012</v>
      </c>
      <c r="Q40" s="3224" t="s">
        <v>3013</v>
      </c>
    </row>
    <row r="41" spans="1:17" ht="14.25" customHeight="1" thickBot="1">
      <c r="A41" s="3224" t="s">
        <v>296</v>
      </c>
      <c r="B41" s="3225" t="s">
        <v>209</v>
      </c>
      <c r="C41" s="3224">
        <v>21220</v>
      </c>
      <c r="D41" s="3224">
        <v>21120</v>
      </c>
      <c r="E41" s="3224">
        <v>22590</v>
      </c>
      <c r="F41" s="3224"/>
      <c r="G41" s="3237">
        <v>14780</v>
      </c>
      <c r="M41" s="3231" t="s">
        <v>3014</v>
      </c>
      <c r="N41" s="3224" t="s">
        <v>3015</v>
      </c>
      <c r="O41" s="3224" t="s">
        <v>3016</v>
      </c>
      <c r="P41" s="3224" t="s">
        <v>3017</v>
      </c>
      <c r="Q41" s="3224" t="s">
        <v>3018</v>
      </c>
    </row>
    <row r="42" spans="1:17" ht="14.25" customHeight="1">
      <c r="A42" s="3224" t="s">
        <v>296</v>
      </c>
      <c r="B42" s="3225" t="s">
        <v>215</v>
      </c>
      <c r="C42" s="3224">
        <v>24800</v>
      </c>
      <c r="D42" s="3224">
        <v>22280</v>
      </c>
      <c r="E42" s="3224">
        <v>24350</v>
      </c>
      <c r="F42" s="3224"/>
      <c r="G42" s="3237">
        <v>15590</v>
      </c>
      <c r="N42" s="3224" t="s">
        <v>3019</v>
      </c>
      <c r="O42" s="3224" t="s">
        <v>3020</v>
      </c>
      <c r="P42" s="3224" t="s">
        <v>3021</v>
      </c>
      <c r="Q42" s="3224" t="s">
        <v>3022</v>
      </c>
    </row>
    <row r="43" spans="1:17" ht="14.25" customHeight="1">
      <c r="A43" s="3224" t="s">
        <v>3023</v>
      </c>
      <c r="B43" s="3225" t="s">
        <v>223</v>
      </c>
      <c r="C43" s="3224">
        <v>21210</v>
      </c>
      <c r="D43" s="3224">
        <v>21160</v>
      </c>
      <c r="E43" s="3224">
        <v>22650</v>
      </c>
      <c r="F43" s="3224"/>
      <c r="G43" s="3237">
        <v>14800</v>
      </c>
      <c r="N43" s="3224" t="s">
        <v>3024</v>
      </c>
      <c r="O43" s="3224" t="s">
        <v>3025</v>
      </c>
      <c r="P43" s="3224" t="s">
        <v>3026</v>
      </c>
      <c r="Q43" s="3224" t="s">
        <v>3027</v>
      </c>
    </row>
    <row r="44" spans="1:17" ht="14.25" customHeight="1" thickBot="1">
      <c r="A44" s="3224" t="s">
        <v>296</v>
      </c>
      <c r="B44" s="3225" t="s">
        <v>231</v>
      </c>
      <c r="C44" s="3224">
        <v>22370</v>
      </c>
      <c r="D44" s="3224">
        <v>23140</v>
      </c>
      <c r="E44" s="3224">
        <v>25090</v>
      </c>
      <c r="F44" s="3224"/>
      <c r="G44" s="3237">
        <v>16190</v>
      </c>
      <c r="N44" s="3224" t="s">
        <v>3028</v>
      </c>
      <c r="O44" s="3224" t="s">
        <v>3029</v>
      </c>
      <c r="P44" s="3231" t="s">
        <v>3030</v>
      </c>
      <c r="Q44" s="3224" t="s">
        <v>3031</v>
      </c>
    </row>
    <row r="45" spans="1:17" ht="14.25" customHeight="1" thickBot="1">
      <c r="A45" s="3224" t="s">
        <v>296</v>
      </c>
      <c r="B45" s="3225" t="s">
        <v>236</v>
      </c>
      <c r="C45" s="3224">
        <v>21240</v>
      </c>
      <c r="D45" s="3224">
        <v>27050</v>
      </c>
      <c r="E45" s="3224">
        <v>28000</v>
      </c>
      <c r="F45" s="3224"/>
      <c r="G45" s="3237">
        <v>18940</v>
      </c>
      <c r="N45" s="3224" t="s">
        <v>3032</v>
      </c>
      <c r="O45" s="3231" t="s">
        <v>3033</v>
      </c>
      <c r="Q45" s="3224" t="s">
        <v>3034</v>
      </c>
    </row>
    <row r="46" spans="1:17" ht="14.25" customHeight="1">
      <c r="A46" s="3224" t="s">
        <v>296</v>
      </c>
      <c r="B46" s="3225" t="s">
        <v>245</v>
      </c>
      <c r="C46" s="3224">
        <v>23240</v>
      </c>
      <c r="D46" s="3224">
        <v>23000</v>
      </c>
      <c r="E46" s="3224">
        <v>24980</v>
      </c>
      <c r="F46" s="3224"/>
      <c r="G46" s="3237">
        <v>16100</v>
      </c>
      <c r="N46" s="3224" t="s">
        <v>3035</v>
      </c>
      <c r="Q46" s="3224" t="s">
        <v>3036</v>
      </c>
    </row>
    <row r="47" spans="1:17" ht="14.25" customHeight="1">
      <c r="A47" s="3224" t="s">
        <v>296</v>
      </c>
      <c r="B47" s="3225" t="s">
        <v>252</v>
      </c>
      <c r="C47" s="3224">
        <v>27150</v>
      </c>
      <c r="D47" s="3224">
        <v>23310</v>
      </c>
      <c r="E47" s="3224">
        <v>25150</v>
      </c>
      <c r="F47" s="3224"/>
      <c r="G47" s="3237">
        <v>16310</v>
      </c>
      <c r="N47" s="3224" t="s">
        <v>3037</v>
      </c>
      <c r="Q47" s="3224" t="s">
        <v>3038</v>
      </c>
    </row>
    <row r="48" spans="1:17" ht="14.25" customHeight="1">
      <c r="A48" s="3224" t="s">
        <v>296</v>
      </c>
      <c r="B48" s="3225" t="s">
        <v>260</v>
      </c>
      <c r="C48" s="3224">
        <v>23100</v>
      </c>
      <c r="D48" s="3224">
        <v>21110</v>
      </c>
      <c r="E48" s="3224">
        <v>23080</v>
      </c>
      <c r="F48" s="3224"/>
      <c r="G48" s="3237">
        <v>14780</v>
      </c>
      <c r="N48" s="3224" t="s">
        <v>3039</v>
      </c>
      <c r="Q48" s="3224" t="s">
        <v>3040</v>
      </c>
    </row>
    <row r="49" spans="1:17" ht="14.25" customHeight="1">
      <c r="A49" s="3224" t="s">
        <v>296</v>
      </c>
      <c r="B49" s="3225" t="s">
        <v>267</v>
      </c>
      <c r="C49" s="3224">
        <v>23400</v>
      </c>
      <c r="D49" s="3224">
        <v>22920</v>
      </c>
      <c r="E49" s="3224">
        <v>24900</v>
      </c>
      <c r="F49" s="3224"/>
      <c r="G49" s="3237">
        <v>16040</v>
      </c>
      <c r="N49" s="3224" t="s">
        <v>3041</v>
      </c>
      <c r="Q49" s="3224" t="s">
        <v>3042</v>
      </c>
    </row>
    <row r="50" spans="1:17" ht="14.25" customHeight="1">
      <c r="A50" s="3224" t="s">
        <v>296</v>
      </c>
      <c r="B50" s="3225" t="s">
        <v>2919</v>
      </c>
      <c r="C50" s="3224">
        <v>21200</v>
      </c>
      <c r="D50" s="3224">
        <v>26540</v>
      </c>
      <c r="E50" s="3224">
        <v>23200</v>
      </c>
      <c r="F50" s="3224"/>
      <c r="G50" s="3237">
        <v>18580</v>
      </c>
      <c r="N50" s="3224" t="s">
        <v>3043</v>
      </c>
      <c r="Q50" s="3225" t="s">
        <v>3044</v>
      </c>
    </row>
    <row r="51" spans="1:17" ht="14.25" customHeight="1" thickBot="1">
      <c r="A51" s="3224" t="s">
        <v>296</v>
      </c>
      <c r="B51" s="3225" t="s">
        <v>2921</v>
      </c>
      <c r="C51" s="3224">
        <v>23000</v>
      </c>
      <c r="D51" s="3224">
        <v>23460</v>
      </c>
      <c r="E51" s="3224">
        <v>25290</v>
      </c>
      <c r="F51" s="3224"/>
      <c r="G51" s="3237">
        <v>16420</v>
      </c>
      <c r="N51" s="3224" t="s">
        <v>3045</v>
      </c>
      <c r="Q51" s="3231" t="s">
        <v>3046</v>
      </c>
    </row>
    <row r="52" spans="1:17" ht="14.25" customHeight="1">
      <c r="A52" s="3224" t="s">
        <v>296</v>
      </c>
      <c r="B52" s="3225" t="s">
        <v>2925</v>
      </c>
      <c r="C52" s="3224">
        <v>26660</v>
      </c>
      <c r="D52" s="3224">
        <v>22350</v>
      </c>
      <c r="E52" s="3224">
        <v>22920</v>
      </c>
      <c r="F52" s="3224"/>
      <c r="G52" s="3237">
        <v>15640</v>
      </c>
      <c r="N52" s="3224" t="s">
        <v>3047</v>
      </c>
    </row>
    <row r="53" spans="1:17" ht="14.25" customHeight="1">
      <c r="A53" s="3224" t="s">
        <v>296</v>
      </c>
      <c r="B53" s="3225" t="s">
        <v>2930</v>
      </c>
      <c r="C53" s="3224">
        <v>23580</v>
      </c>
      <c r="D53" s="3224"/>
      <c r="E53" s="3224">
        <v>24280</v>
      </c>
      <c r="F53" s="3224"/>
      <c r="G53" s="3237"/>
      <c r="N53" s="3224" t="s">
        <v>3048</v>
      </c>
    </row>
    <row r="54" spans="1:17" ht="14.25" customHeight="1" thickBot="1">
      <c r="A54" s="3238" t="s">
        <v>296</v>
      </c>
      <c r="B54" s="3230" t="s">
        <v>2933</v>
      </c>
      <c r="C54" s="3231">
        <v>22460</v>
      </c>
      <c r="D54" s="3231"/>
      <c r="E54" s="3231"/>
      <c r="F54" s="3231"/>
      <c r="G54" s="3239"/>
      <c r="N54" s="3224" t="s">
        <v>3049</v>
      </c>
    </row>
    <row r="55" spans="1:17" ht="14.25" customHeight="1">
      <c r="A55" s="3229" t="s">
        <v>110</v>
      </c>
      <c r="B55" s="3220" t="s">
        <v>3050</v>
      </c>
      <c r="C55" s="3224">
        <v>21970</v>
      </c>
      <c r="D55" s="3224">
        <v>20370</v>
      </c>
      <c r="E55" s="3224">
        <v>20180</v>
      </c>
      <c r="F55" s="3224">
        <v>5730</v>
      </c>
      <c r="G55" s="3224">
        <v>13820</v>
      </c>
      <c r="N55" s="3224" t="s">
        <v>3051</v>
      </c>
    </row>
    <row r="56" spans="1:17" ht="14.25" customHeight="1">
      <c r="A56" s="3224" t="s">
        <v>110</v>
      </c>
      <c r="B56" s="3224" t="s">
        <v>130</v>
      </c>
      <c r="C56" s="3224">
        <v>20470</v>
      </c>
      <c r="D56" s="3224">
        <v>20700</v>
      </c>
      <c r="E56" s="3224">
        <v>20380</v>
      </c>
      <c r="F56" s="3224">
        <v>4760</v>
      </c>
      <c r="G56" s="3224">
        <v>14050</v>
      </c>
      <c r="N56" s="3224" t="s">
        <v>3052</v>
      </c>
    </row>
    <row r="57" spans="1:17" ht="14.25" customHeight="1">
      <c r="A57" s="3224" t="s">
        <v>110</v>
      </c>
      <c r="B57" s="3224" t="s">
        <v>139</v>
      </c>
      <c r="C57" s="3224">
        <v>20790</v>
      </c>
      <c r="D57" s="3224">
        <v>21370</v>
      </c>
      <c r="E57" s="3224">
        <v>20890</v>
      </c>
      <c r="F57" s="3224">
        <v>4910</v>
      </c>
      <c r="G57" s="3224">
        <v>14510</v>
      </c>
      <c r="N57" s="3224" t="s">
        <v>3053</v>
      </c>
    </row>
    <row r="58" spans="1:17" ht="14.25" customHeight="1">
      <c r="A58" s="3224" t="s">
        <v>110</v>
      </c>
      <c r="B58" s="3224" t="s">
        <v>148</v>
      </c>
      <c r="C58" s="3224">
        <v>21460</v>
      </c>
      <c r="D58" s="3224">
        <v>20920</v>
      </c>
      <c r="E58" s="3224">
        <v>23410</v>
      </c>
      <c r="F58" s="3224">
        <v>5100</v>
      </c>
      <c r="G58" s="3224">
        <v>14200</v>
      </c>
      <c r="N58" s="3224" t="s">
        <v>3054</v>
      </c>
    </row>
    <row r="59" spans="1:17" ht="14.25" customHeight="1">
      <c r="A59" s="3224" t="s">
        <v>110</v>
      </c>
      <c r="B59" s="3224" t="s">
        <v>157</v>
      </c>
      <c r="C59" s="3224">
        <v>21000</v>
      </c>
      <c r="D59" s="3224">
        <v>21550</v>
      </c>
      <c r="E59" s="3224">
        <v>21150</v>
      </c>
      <c r="F59" s="3224">
        <v>5250</v>
      </c>
      <c r="G59" s="3224">
        <v>14630</v>
      </c>
      <c r="N59" s="3224" t="s">
        <v>3055</v>
      </c>
    </row>
    <row r="60" spans="1:17" ht="14.25" customHeight="1">
      <c r="A60" s="3224" t="s">
        <v>110</v>
      </c>
      <c r="B60" s="3224" t="s">
        <v>164</v>
      </c>
      <c r="C60" s="3224">
        <v>21640</v>
      </c>
      <c r="D60" s="3224">
        <v>21260</v>
      </c>
      <c r="E60" s="3224">
        <v>24040</v>
      </c>
      <c r="F60" s="3224">
        <v>4470</v>
      </c>
      <c r="G60" s="3224">
        <v>14430</v>
      </c>
      <c r="N60" s="3224" t="s">
        <v>3056</v>
      </c>
    </row>
    <row r="61" spans="1:17" ht="14.25" customHeight="1">
      <c r="A61" s="3224" t="s">
        <v>110</v>
      </c>
      <c r="B61" s="3224" t="s">
        <v>170</v>
      </c>
      <c r="C61" s="3224">
        <v>21330</v>
      </c>
      <c r="D61" s="3224">
        <v>18640</v>
      </c>
      <c r="E61" s="3224">
        <v>21190</v>
      </c>
      <c r="F61" s="3224">
        <v>4180</v>
      </c>
      <c r="G61" s="3224">
        <v>12650</v>
      </c>
      <c r="N61" s="3224" t="s">
        <v>3057</v>
      </c>
    </row>
    <row r="62" spans="1:17" ht="14.25" customHeight="1">
      <c r="A62" s="3224" t="s">
        <v>110</v>
      </c>
      <c r="B62" s="3224" t="s">
        <v>177</v>
      </c>
      <c r="C62" s="3224">
        <v>18710</v>
      </c>
      <c r="D62" s="3224">
        <v>19400</v>
      </c>
      <c r="E62" s="3224">
        <v>23750</v>
      </c>
      <c r="F62" s="3224">
        <v>4860</v>
      </c>
      <c r="G62" s="3224">
        <v>13170</v>
      </c>
      <c r="N62" s="3224" t="s">
        <v>3058</v>
      </c>
    </row>
    <row r="63" spans="1:17" ht="14.25" customHeight="1">
      <c r="A63" s="3224" t="s">
        <v>110</v>
      </c>
      <c r="B63" s="3224" t="s">
        <v>187</v>
      </c>
      <c r="C63" s="3224">
        <v>19480</v>
      </c>
      <c r="D63" s="3224">
        <v>16830</v>
      </c>
      <c r="E63" s="3224">
        <v>21590</v>
      </c>
      <c r="F63" s="3224">
        <v>4560</v>
      </c>
      <c r="G63" s="3224">
        <v>11420</v>
      </c>
      <c r="N63" s="3224" t="s">
        <v>3059</v>
      </c>
    </row>
    <row r="64" spans="1:17" ht="14.25" customHeight="1" thickBot="1">
      <c r="A64" s="3224" t="s">
        <v>110</v>
      </c>
      <c r="B64" s="3224" t="s">
        <v>196</v>
      </c>
      <c r="C64" s="3224">
        <v>16920</v>
      </c>
      <c r="D64" s="3224">
        <v>19190</v>
      </c>
      <c r="E64" s="3224">
        <v>22200</v>
      </c>
      <c r="F64" s="3224">
        <v>4390</v>
      </c>
      <c r="G64" s="3224">
        <v>13030</v>
      </c>
      <c r="N64" s="3231" t="s">
        <v>3060</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2931</v>
      </c>
      <c r="C78" s="3224">
        <v>19820</v>
      </c>
      <c r="D78" s="3224">
        <v>19780</v>
      </c>
      <c r="E78" s="3224">
        <v>18560</v>
      </c>
      <c r="F78" s="3224"/>
      <c r="G78" s="3224">
        <v>13430</v>
      </c>
    </row>
    <row r="79" spans="1:7" s="3213" customFormat="1" ht="14.25" customHeight="1">
      <c r="A79" s="3224" t="s">
        <v>110</v>
      </c>
      <c r="B79" s="3224" t="s">
        <v>2934</v>
      </c>
      <c r="C79" s="3224">
        <v>21660</v>
      </c>
      <c r="D79" s="3224">
        <v>18000</v>
      </c>
      <c r="E79" s="3224">
        <v>22570</v>
      </c>
      <c r="F79" s="3224"/>
      <c r="G79" s="3224">
        <v>12220</v>
      </c>
    </row>
    <row r="80" spans="1:7" s="3213" customFormat="1" ht="14.25" customHeight="1">
      <c r="A80" s="3224" t="s">
        <v>110</v>
      </c>
      <c r="B80" s="3224" t="s">
        <v>2938</v>
      </c>
      <c r="C80" s="3224">
        <v>19850</v>
      </c>
      <c r="D80" s="3224"/>
      <c r="E80" s="3224">
        <v>21700</v>
      </c>
      <c r="F80" s="3224"/>
      <c r="G80" s="3224"/>
    </row>
    <row r="81" spans="1:7" s="3213" customFormat="1" ht="14.25" customHeight="1">
      <c r="A81" s="3224" t="s">
        <v>110</v>
      </c>
      <c r="B81" s="3224" t="s">
        <v>2943</v>
      </c>
      <c r="C81" s="3224">
        <v>18080</v>
      </c>
      <c r="D81" s="3224"/>
      <c r="E81" s="3224">
        <v>20900</v>
      </c>
      <c r="F81" s="3224"/>
      <c r="G81" s="3224"/>
    </row>
    <row r="82" spans="1:7" s="3213" customFormat="1" ht="14.25" customHeight="1">
      <c r="A82" s="3224" t="s">
        <v>110</v>
      </c>
      <c r="B82" s="3224" t="s">
        <v>2950</v>
      </c>
      <c r="C82" s="3224"/>
      <c r="D82" s="3224"/>
      <c r="E82" s="3224">
        <v>20840</v>
      </c>
      <c r="F82" s="3224"/>
      <c r="G82" s="3224"/>
    </row>
    <row r="83" spans="1:7" s="3213" customFormat="1" ht="14.25" customHeight="1">
      <c r="A83" s="3224" t="s">
        <v>110</v>
      </c>
      <c r="B83" s="3224" t="s">
        <v>3061</v>
      </c>
      <c r="C83" s="3224"/>
      <c r="D83" s="3224"/>
      <c r="E83" s="3224"/>
      <c r="F83" s="3224">
        <v>4770</v>
      </c>
      <c r="G83" s="3224"/>
    </row>
    <row r="84" spans="1:7" s="3213" customFormat="1" ht="14.25" customHeight="1">
      <c r="A84" s="3224" t="s">
        <v>110</v>
      </c>
      <c r="B84" s="3224" t="s">
        <v>3062</v>
      </c>
      <c r="C84" s="3224"/>
      <c r="D84" s="3224"/>
      <c r="E84" s="3224"/>
      <c r="F84" s="3224">
        <v>4600</v>
      </c>
      <c r="G84" s="3224"/>
    </row>
    <row r="85" spans="1:7" s="3213" customFormat="1" ht="14.25" customHeight="1">
      <c r="A85" s="3224" t="s">
        <v>110</v>
      </c>
      <c r="B85" s="3224" t="s">
        <v>3063</v>
      </c>
      <c r="C85" s="3224"/>
      <c r="D85" s="3224"/>
      <c r="E85" s="3224"/>
      <c r="F85" s="3224">
        <v>4680</v>
      </c>
      <c r="G85" s="3224"/>
    </row>
    <row r="86" spans="1:7" s="3213" customFormat="1" ht="14.25" customHeight="1" thickBot="1">
      <c r="A86" s="3232" t="s">
        <v>110</v>
      </c>
      <c r="B86" s="3234" t="s">
        <v>3064</v>
      </c>
      <c r="C86" s="3235">
        <v>16610</v>
      </c>
      <c r="D86" s="3235">
        <v>16540</v>
      </c>
      <c r="E86" s="3235">
        <v>18850</v>
      </c>
      <c r="F86" s="3235"/>
      <c r="G86" s="3235">
        <v>11220</v>
      </c>
    </row>
    <row r="87" spans="1:7" s="3213" customFormat="1" ht="14.25" customHeight="1">
      <c r="A87" s="3229" t="s">
        <v>303</v>
      </c>
      <c r="B87" s="3220" t="s">
        <v>3065</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2944</v>
      </c>
      <c r="C113" s="3224">
        <v>15520</v>
      </c>
      <c r="D113" s="3224">
        <v>15450</v>
      </c>
      <c r="E113" s="3224"/>
      <c r="F113" s="3224"/>
      <c r="G113" s="3237">
        <v>10210</v>
      </c>
    </row>
    <row r="114" spans="1:7" s="3213" customFormat="1" ht="14.25" customHeight="1">
      <c r="A114" s="3224" t="s">
        <v>303</v>
      </c>
      <c r="B114" s="3224" t="s">
        <v>2951</v>
      </c>
      <c r="C114" s="3224">
        <v>13110</v>
      </c>
      <c r="D114" s="3224">
        <v>13050</v>
      </c>
      <c r="E114" s="3224"/>
      <c r="F114" s="3224"/>
      <c r="G114" s="3237">
        <v>8620</v>
      </c>
    </row>
    <row r="115" spans="1:7" s="3213" customFormat="1" ht="14.25" customHeight="1">
      <c r="A115" s="3224" t="s">
        <v>303</v>
      </c>
      <c r="B115" s="3224" t="s">
        <v>2957</v>
      </c>
      <c r="C115" s="3224">
        <v>12460</v>
      </c>
      <c r="D115" s="3224">
        <v>12390</v>
      </c>
      <c r="E115" s="3224"/>
      <c r="F115" s="3224"/>
      <c r="G115" s="3237">
        <v>8190</v>
      </c>
    </row>
    <row r="116" spans="1:7" s="3213" customFormat="1" ht="14.25" customHeight="1">
      <c r="A116" s="3224" t="s">
        <v>303</v>
      </c>
      <c r="B116" s="3224" t="s">
        <v>2964</v>
      </c>
      <c r="C116" s="3224">
        <v>13580</v>
      </c>
      <c r="D116" s="3224">
        <v>13520</v>
      </c>
      <c r="E116" s="3224"/>
      <c r="F116" s="3224"/>
      <c r="G116" s="3237">
        <v>8930</v>
      </c>
    </row>
    <row r="117" spans="1:7" s="3213" customFormat="1" ht="14.25" customHeight="1">
      <c r="A117" s="3224" t="s">
        <v>303</v>
      </c>
      <c r="B117" s="3224" t="s">
        <v>2971</v>
      </c>
      <c r="C117" s="3224">
        <v>17120</v>
      </c>
      <c r="D117" s="3224">
        <v>17040</v>
      </c>
      <c r="E117" s="3224"/>
      <c r="F117" s="3224"/>
      <c r="G117" s="3237">
        <v>11260</v>
      </c>
    </row>
    <row r="118" spans="1:7" s="3213" customFormat="1" ht="14.25" customHeight="1">
      <c r="A118" s="3224" t="s">
        <v>303</v>
      </c>
      <c r="B118" s="3224" t="s">
        <v>2976</v>
      </c>
      <c r="C118" s="3224">
        <v>14860</v>
      </c>
      <c r="D118" s="3224">
        <v>14790</v>
      </c>
      <c r="E118" s="3224"/>
      <c r="F118" s="3224"/>
      <c r="G118" s="3237">
        <v>9780</v>
      </c>
    </row>
    <row r="119" spans="1:7" s="3213" customFormat="1" ht="14.25" customHeight="1">
      <c r="A119" s="3224" t="s">
        <v>303</v>
      </c>
      <c r="B119" s="3224" t="s">
        <v>2980</v>
      </c>
      <c r="C119" s="3224">
        <v>16470</v>
      </c>
      <c r="D119" s="3224">
        <v>16400</v>
      </c>
      <c r="E119" s="3224"/>
      <c r="F119" s="3224"/>
      <c r="G119" s="3237">
        <v>10840</v>
      </c>
    </row>
    <row r="120" spans="1:7" s="3213" customFormat="1" ht="14.25" customHeight="1">
      <c r="A120" s="3224" t="s">
        <v>303</v>
      </c>
      <c r="B120" s="3224" t="s">
        <v>3066</v>
      </c>
      <c r="C120" s="3224"/>
      <c r="D120" s="3224"/>
      <c r="E120" s="3224"/>
      <c r="F120" s="3224">
        <v>4160</v>
      </c>
      <c r="G120" s="3237"/>
    </row>
    <row r="121" spans="1:7" s="3213" customFormat="1" ht="14.25" customHeight="1">
      <c r="A121" s="3224" t="s">
        <v>303</v>
      </c>
      <c r="B121" s="3224" t="s">
        <v>3067</v>
      </c>
      <c r="C121" s="3224"/>
      <c r="D121" s="3224"/>
      <c r="E121" s="3224"/>
      <c r="F121" s="3224">
        <v>3880</v>
      </c>
      <c r="G121" s="3237"/>
    </row>
    <row r="122" spans="1:7" s="3213" customFormat="1" ht="14.25" customHeight="1">
      <c r="A122" s="3224" t="s">
        <v>303</v>
      </c>
      <c r="B122" s="3224" t="s">
        <v>3068</v>
      </c>
      <c r="C122" s="3224">
        <v>13750</v>
      </c>
      <c r="D122" s="3224">
        <v>13680</v>
      </c>
      <c r="E122" s="3224">
        <v>16460</v>
      </c>
      <c r="F122" s="3224">
        <v>2880</v>
      </c>
      <c r="G122" s="3237">
        <v>9040</v>
      </c>
    </row>
    <row r="123" spans="1:7" s="3213" customFormat="1" ht="14.25" customHeight="1">
      <c r="A123" s="3224" t="s">
        <v>303</v>
      </c>
      <c r="B123" s="3224" t="s">
        <v>2999</v>
      </c>
      <c r="C123" s="3224">
        <v>13590</v>
      </c>
      <c r="D123" s="3224">
        <v>13520</v>
      </c>
      <c r="E123" s="3224">
        <v>16290</v>
      </c>
      <c r="F123" s="3224">
        <v>2790</v>
      </c>
      <c r="G123" s="3237">
        <v>8930</v>
      </c>
    </row>
    <row r="124" spans="1:7" s="3213" customFormat="1" ht="14.25" customHeight="1">
      <c r="A124" s="3224" t="s">
        <v>303</v>
      </c>
      <c r="B124" s="3224" t="s">
        <v>3004</v>
      </c>
      <c r="C124" s="3224">
        <v>13400</v>
      </c>
      <c r="D124" s="3224">
        <v>13320</v>
      </c>
      <c r="E124" s="3224">
        <v>16100</v>
      </c>
      <c r="F124" s="3224">
        <v>2320</v>
      </c>
      <c r="G124" s="3237">
        <v>8800</v>
      </c>
    </row>
    <row r="125" spans="1:7" s="3213" customFormat="1" ht="14.25" customHeight="1">
      <c r="A125" s="3224" t="s">
        <v>303</v>
      </c>
      <c r="B125" s="3224" t="s">
        <v>3009</v>
      </c>
      <c r="C125" s="3224">
        <v>12860</v>
      </c>
      <c r="D125" s="3224">
        <v>12790</v>
      </c>
      <c r="E125" s="3224">
        <v>15370</v>
      </c>
      <c r="F125" s="3224">
        <v>2280</v>
      </c>
      <c r="G125" s="3237">
        <v>8450</v>
      </c>
    </row>
    <row r="126" spans="1:7" s="3213" customFormat="1" ht="14.25" customHeight="1" thickBot="1">
      <c r="A126" s="3238" t="s">
        <v>303</v>
      </c>
      <c r="B126" s="3231" t="s">
        <v>3014</v>
      </c>
      <c r="C126" s="3231">
        <v>12960</v>
      </c>
      <c r="D126" s="3231">
        <v>12890</v>
      </c>
      <c r="E126" s="3231">
        <v>15530</v>
      </c>
      <c r="F126" s="3231">
        <v>2910</v>
      </c>
      <c r="G126" s="3239">
        <v>8520</v>
      </c>
    </row>
    <row r="127" spans="1:7" s="3213" customFormat="1" ht="14.25" customHeight="1">
      <c r="A127" s="3229" t="s">
        <v>29</v>
      </c>
      <c r="B127" s="3220" t="s">
        <v>3069</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3070</v>
      </c>
      <c r="C148" s="3224">
        <v>10370</v>
      </c>
      <c r="D148" s="3224">
        <v>10310</v>
      </c>
      <c r="E148" s="3224">
        <v>12970</v>
      </c>
      <c r="F148" s="3224"/>
      <c r="G148" s="3224">
        <v>6630</v>
      </c>
    </row>
    <row r="149" spans="1:7" s="3213" customFormat="1" ht="14.25" customHeight="1">
      <c r="A149" s="3224" t="s">
        <v>29</v>
      </c>
      <c r="B149" s="3224" t="s">
        <v>3071</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2945</v>
      </c>
      <c r="C153" s="3224">
        <v>10880</v>
      </c>
      <c r="D153" s="3224">
        <v>10820</v>
      </c>
      <c r="E153" s="3224">
        <v>13660</v>
      </c>
      <c r="F153" s="3224">
        <v>2260</v>
      </c>
      <c r="G153" s="3224">
        <v>6970</v>
      </c>
    </row>
    <row r="154" spans="1:7" s="3213" customFormat="1" ht="14.25" customHeight="1">
      <c r="A154" s="3224" t="s">
        <v>29</v>
      </c>
      <c r="B154" s="3224" t="s">
        <v>3072</v>
      </c>
      <c r="C154" s="3224">
        <v>11220</v>
      </c>
      <c r="D154" s="3224">
        <v>11160</v>
      </c>
      <c r="E154" s="3224">
        <v>14130</v>
      </c>
      <c r="F154" s="3224">
        <v>2230</v>
      </c>
      <c r="G154" s="3224">
        <v>7180</v>
      </c>
    </row>
    <row r="155" spans="1:7" s="3213" customFormat="1" ht="14.25" customHeight="1">
      <c r="A155" s="3224" t="s">
        <v>29</v>
      </c>
      <c r="B155" s="3224" t="s">
        <v>2958</v>
      </c>
      <c r="C155" s="3224">
        <v>10430</v>
      </c>
      <c r="D155" s="3224">
        <v>10380</v>
      </c>
      <c r="E155" s="3224">
        <v>13140</v>
      </c>
      <c r="F155" s="3224">
        <v>2080</v>
      </c>
      <c r="G155" s="3224">
        <v>6650</v>
      </c>
    </row>
    <row r="156" spans="1:7" s="3213" customFormat="1" ht="14.25" customHeight="1">
      <c r="A156" s="3224" t="s">
        <v>29</v>
      </c>
      <c r="B156" s="3224" t="s">
        <v>3073</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3074</v>
      </c>
      <c r="C160" s="3224">
        <v>11180</v>
      </c>
      <c r="D160" s="3224">
        <v>11140</v>
      </c>
      <c r="E160" s="3224">
        <v>14050</v>
      </c>
      <c r="F160" s="3224">
        <v>2270</v>
      </c>
      <c r="G160" s="3224">
        <v>7170</v>
      </c>
    </row>
    <row r="161" spans="1:7" s="3213" customFormat="1" ht="14.25" customHeight="1">
      <c r="A161" s="3224" t="s">
        <v>29</v>
      </c>
      <c r="B161" s="3224" t="s">
        <v>2990</v>
      </c>
      <c r="C161" s="3224">
        <v>11160</v>
      </c>
      <c r="D161" s="3224">
        <v>11120</v>
      </c>
      <c r="E161" s="3224">
        <v>14020</v>
      </c>
      <c r="F161" s="3224">
        <v>2150</v>
      </c>
      <c r="G161" s="3224">
        <v>7160</v>
      </c>
    </row>
    <row r="162" spans="1:7" s="3213" customFormat="1" ht="14.25" customHeight="1">
      <c r="A162" s="3224" t="s">
        <v>29</v>
      </c>
      <c r="B162" s="3224" t="s">
        <v>2995</v>
      </c>
      <c r="C162" s="3224">
        <v>9620</v>
      </c>
      <c r="D162" s="3224">
        <v>9570</v>
      </c>
      <c r="E162" s="3224">
        <v>12320</v>
      </c>
      <c r="F162" s="3224">
        <v>2010</v>
      </c>
      <c r="G162" s="3224">
        <v>6160</v>
      </c>
    </row>
    <row r="163" spans="1:7" s="3213" customFormat="1" ht="14.25" customHeight="1">
      <c r="A163" s="3224" t="s">
        <v>29</v>
      </c>
      <c r="B163" s="3224" t="s">
        <v>3000</v>
      </c>
      <c r="C163" s="3224">
        <v>9320</v>
      </c>
      <c r="D163" s="3224">
        <v>9270</v>
      </c>
      <c r="E163" s="3224">
        <v>11790</v>
      </c>
      <c r="F163" s="3224">
        <v>1920</v>
      </c>
      <c r="G163" s="3224">
        <v>5960</v>
      </c>
    </row>
    <row r="164" spans="1:7" s="3213" customFormat="1" ht="14.25" customHeight="1">
      <c r="A164" s="3224" t="s">
        <v>29</v>
      </c>
      <c r="B164" s="3224" t="s">
        <v>3005</v>
      </c>
      <c r="C164" s="3224"/>
      <c r="D164" s="3224"/>
      <c r="E164" s="3224"/>
      <c r="F164" s="3224">
        <v>1980</v>
      </c>
      <c r="G164" s="3224"/>
    </row>
    <row r="165" spans="1:7" s="3213" customFormat="1" ht="14.25" customHeight="1">
      <c r="A165" s="3224" t="s">
        <v>29</v>
      </c>
      <c r="B165" s="3224" t="s">
        <v>3075</v>
      </c>
      <c r="C165" s="3224">
        <v>11060</v>
      </c>
      <c r="D165" s="3224">
        <v>11030</v>
      </c>
      <c r="E165" s="3224">
        <v>13850</v>
      </c>
      <c r="F165" s="3224">
        <v>2170</v>
      </c>
      <c r="G165" s="3224">
        <v>7090</v>
      </c>
    </row>
    <row r="166" spans="1:7" s="3213" customFormat="1" ht="14.25" customHeight="1">
      <c r="A166" s="3224" t="s">
        <v>29</v>
      </c>
      <c r="B166" s="3224" t="s">
        <v>3015</v>
      </c>
      <c r="C166" s="3224">
        <v>11050</v>
      </c>
      <c r="D166" s="3224">
        <v>11010</v>
      </c>
      <c r="E166" s="3224">
        <v>13920</v>
      </c>
      <c r="F166" s="3224">
        <v>2140</v>
      </c>
      <c r="G166" s="3224">
        <v>7080</v>
      </c>
    </row>
    <row r="167" spans="1:7" s="3213" customFormat="1" ht="14.25" customHeight="1">
      <c r="A167" s="3224" t="s">
        <v>29</v>
      </c>
      <c r="B167" s="3224" t="s">
        <v>3019</v>
      </c>
      <c r="C167" s="3224">
        <v>10930</v>
      </c>
      <c r="D167" s="3224">
        <v>10890</v>
      </c>
      <c r="E167" s="3224">
        <v>13790</v>
      </c>
      <c r="F167" s="3224">
        <v>2010</v>
      </c>
      <c r="G167" s="3224">
        <v>7000</v>
      </c>
    </row>
    <row r="168" spans="1:7" s="3213" customFormat="1" ht="14.25" customHeight="1">
      <c r="A168" s="3224" t="s">
        <v>29</v>
      </c>
      <c r="B168" s="3224" t="s">
        <v>3024</v>
      </c>
      <c r="C168" s="3224">
        <v>9420</v>
      </c>
      <c r="D168" s="3224">
        <v>9380</v>
      </c>
      <c r="E168" s="3224">
        <v>11970</v>
      </c>
      <c r="F168" s="3224"/>
      <c r="G168" s="3224">
        <v>6040</v>
      </c>
    </row>
    <row r="169" spans="1:7" s="3213" customFormat="1" ht="14.25" customHeight="1">
      <c r="A169" s="3224" t="s">
        <v>29</v>
      </c>
      <c r="B169" s="3224" t="s">
        <v>3076</v>
      </c>
      <c r="C169" s="3224"/>
      <c r="D169" s="3224"/>
      <c r="E169" s="3224"/>
      <c r="F169" s="3224">
        <v>2880</v>
      </c>
      <c r="G169" s="3224"/>
    </row>
    <row r="170" spans="1:7" s="3213" customFormat="1" ht="14.25" customHeight="1">
      <c r="A170" s="3224" t="s">
        <v>29</v>
      </c>
      <c r="B170" s="3224" t="s">
        <v>3032</v>
      </c>
      <c r="C170" s="3224"/>
      <c r="D170" s="3224"/>
      <c r="E170" s="3224"/>
      <c r="F170" s="3224">
        <v>2880</v>
      </c>
      <c r="G170" s="3224"/>
    </row>
    <row r="171" spans="1:7" s="3213" customFormat="1" ht="14.25" customHeight="1">
      <c r="A171" s="3224" t="s">
        <v>29</v>
      </c>
      <c r="B171" s="3224" t="s">
        <v>3035</v>
      </c>
      <c r="C171" s="3224"/>
      <c r="D171" s="3224"/>
      <c r="E171" s="3224"/>
      <c r="F171" s="3224">
        <v>2880</v>
      </c>
      <c r="G171" s="3224"/>
    </row>
    <row r="172" spans="1:7" s="3213" customFormat="1" ht="14.25" customHeight="1">
      <c r="A172" s="3224" t="s">
        <v>29</v>
      </c>
      <c r="B172" s="3224" t="s">
        <v>3037</v>
      </c>
      <c r="C172" s="3224"/>
      <c r="D172" s="3224"/>
      <c r="E172" s="3224"/>
      <c r="F172" s="3224">
        <v>2880</v>
      </c>
      <c r="G172" s="3224"/>
    </row>
    <row r="173" spans="1:7" s="3213" customFormat="1" ht="14.25" customHeight="1">
      <c r="A173" s="3224" t="s">
        <v>29</v>
      </c>
      <c r="B173" s="3224" t="s">
        <v>3039</v>
      </c>
      <c r="C173" s="3224"/>
      <c r="D173" s="3224"/>
      <c r="E173" s="3224"/>
      <c r="F173" s="3224">
        <v>2150</v>
      </c>
      <c r="G173" s="3224"/>
    </row>
    <row r="174" spans="1:7" s="3213" customFormat="1" ht="14.25" customHeight="1">
      <c r="A174" s="3224" t="s">
        <v>29</v>
      </c>
      <c r="B174" s="3224" t="s">
        <v>3041</v>
      </c>
      <c r="C174" s="3224"/>
      <c r="D174" s="3224"/>
      <c r="E174" s="3224"/>
      <c r="F174" s="3224">
        <v>2030</v>
      </c>
      <c r="G174" s="3224"/>
    </row>
    <row r="175" spans="1:7" s="3213" customFormat="1" ht="14.25" customHeight="1">
      <c r="A175" s="3224" t="s">
        <v>29</v>
      </c>
      <c r="B175" s="3224" t="s">
        <v>3043</v>
      </c>
      <c r="C175" s="3224"/>
      <c r="D175" s="3224"/>
      <c r="E175" s="3224"/>
      <c r="F175" s="3224">
        <v>2780</v>
      </c>
      <c r="G175" s="3224"/>
    </row>
    <row r="176" spans="1:7" s="3213" customFormat="1" ht="14.25" customHeight="1">
      <c r="A176" s="3224" t="s">
        <v>29</v>
      </c>
      <c r="B176" s="3224" t="s">
        <v>3045</v>
      </c>
      <c r="C176" s="3224"/>
      <c r="D176" s="3224"/>
      <c r="E176" s="3224"/>
      <c r="F176" s="3224">
        <v>2780</v>
      </c>
      <c r="G176" s="3224"/>
    </row>
    <row r="177" spans="1:7" s="3213" customFormat="1" ht="14.25" customHeight="1">
      <c r="A177" s="3224" t="s">
        <v>29</v>
      </c>
      <c r="B177" s="3224" t="s">
        <v>3077</v>
      </c>
      <c r="C177" s="3224"/>
      <c r="D177" s="3224"/>
      <c r="E177" s="3224"/>
      <c r="F177" s="3224">
        <v>2780</v>
      </c>
      <c r="G177" s="3224"/>
    </row>
    <row r="178" spans="1:7" s="3213" customFormat="1" ht="14.25" customHeight="1">
      <c r="A178" s="3224" t="s">
        <v>29</v>
      </c>
      <c r="B178" s="3224" t="s">
        <v>3078</v>
      </c>
      <c r="C178" s="3224"/>
      <c r="D178" s="3224"/>
      <c r="E178" s="3224"/>
      <c r="F178" s="3224">
        <v>2060</v>
      </c>
      <c r="G178" s="3224"/>
    </row>
    <row r="179" spans="1:7" s="3213" customFormat="1" ht="14.25" customHeight="1">
      <c r="A179" s="3224" t="s">
        <v>29</v>
      </c>
      <c r="B179" s="3224" t="s">
        <v>3079</v>
      </c>
      <c r="C179" s="3224"/>
      <c r="D179" s="3224"/>
      <c r="E179" s="3224"/>
      <c r="F179" s="3224">
        <v>2120</v>
      </c>
      <c r="G179" s="3224"/>
    </row>
    <row r="180" spans="1:7" s="3213" customFormat="1" ht="14.25" customHeight="1">
      <c r="A180" s="3224" t="s">
        <v>29</v>
      </c>
      <c r="B180" s="3224" t="s">
        <v>3051</v>
      </c>
      <c r="C180" s="3224"/>
      <c r="D180" s="3224"/>
      <c r="E180" s="3224"/>
      <c r="F180" s="3224">
        <v>2340</v>
      </c>
      <c r="G180" s="3224"/>
    </row>
    <row r="181" spans="1:7" s="3213" customFormat="1" ht="14.25" customHeight="1">
      <c r="A181" s="3224" t="s">
        <v>29</v>
      </c>
      <c r="B181" s="3224" t="s">
        <v>3052</v>
      </c>
      <c r="C181" s="3224"/>
      <c r="D181" s="3224"/>
      <c r="E181" s="3224"/>
      <c r="F181" s="3224">
        <v>2340</v>
      </c>
      <c r="G181" s="3224"/>
    </row>
    <row r="182" spans="1:7" s="3213" customFormat="1" ht="14.25" customHeight="1">
      <c r="A182" s="3224" t="s">
        <v>29</v>
      </c>
      <c r="B182" s="3224" t="s">
        <v>3053</v>
      </c>
      <c r="C182" s="3224"/>
      <c r="D182" s="3224"/>
      <c r="E182" s="3224"/>
      <c r="F182" s="3224">
        <v>2340</v>
      </c>
      <c r="G182" s="3224"/>
    </row>
    <row r="183" spans="1:7" s="3213" customFormat="1" ht="14.25" customHeight="1">
      <c r="A183" s="3224" t="s">
        <v>29</v>
      </c>
      <c r="B183" s="3224" t="s">
        <v>3054</v>
      </c>
      <c r="C183" s="3224"/>
      <c r="D183" s="3224"/>
      <c r="E183" s="3224"/>
      <c r="F183" s="3224">
        <v>2340</v>
      </c>
      <c r="G183" s="3224"/>
    </row>
    <row r="184" spans="1:7" s="3213" customFormat="1" ht="14.25" customHeight="1">
      <c r="A184" s="3224" t="s">
        <v>29</v>
      </c>
      <c r="B184" s="3224" t="s">
        <v>3055</v>
      </c>
      <c r="C184" s="3224"/>
      <c r="D184" s="3224"/>
      <c r="E184" s="3224"/>
      <c r="F184" s="3224">
        <v>2340</v>
      </c>
      <c r="G184" s="3224"/>
    </row>
    <row r="185" spans="1:7" s="3213" customFormat="1" ht="14.25" customHeight="1">
      <c r="A185" s="3224" t="s">
        <v>29</v>
      </c>
      <c r="B185" s="3224" t="s">
        <v>3056</v>
      </c>
      <c r="C185" s="3224"/>
      <c r="D185" s="3224"/>
      <c r="E185" s="3224"/>
      <c r="F185" s="3224">
        <v>2530</v>
      </c>
      <c r="G185" s="3224"/>
    </row>
    <row r="186" spans="1:7" s="3213" customFormat="1" ht="14.25" customHeight="1">
      <c r="A186" s="3224" t="s">
        <v>29</v>
      </c>
      <c r="B186" s="3224" t="s">
        <v>3057</v>
      </c>
      <c r="C186" s="3224"/>
      <c r="D186" s="3224"/>
      <c r="E186" s="3224"/>
      <c r="F186" s="3224">
        <v>2550</v>
      </c>
      <c r="G186" s="3224"/>
    </row>
    <row r="187" spans="1:7" s="3213" customFormat="1" ht="14.25" customHeight="1">
      <c r="A187" s="3224" t="s">
        <v>29</v>
      </c>
      <c r="B187" s="3224" t="s">
        <v>3058</v>
      </c>
      <c r="C187" s="3224"/>
      <c r="D187" s="3224"/>
      <c r="E187" s="3224"/>
      <c r="F187" s="3224">
        <v>2070</v>
      </c>
      <c r="G187" s="3224"/>
    </row>
    <row r="188" spans="1:7" s="3213" customFormat="1" ht="14.25" customHeight="1">
      <c r="A188" s="3224" t="s">
        <v>29</v>
      </c>
      <c r="B188" s="3224" t="s">
        <v>3059</v>
      </c>
      <c r="C188" s="3224"/>
      <c r="D188" s="3224"/>
      <c r="E188" s="3224"/>
      <c r="F188" s="3224">
        <v>2340</v>
      </c>
      <c r="G188" s="3224"/>
    </row>
    <row r="189" spans="1:7" s="3213" customFormat="1" ht="14.25" customHeight="1" thickBot="1">
      <c r="A189" s="3232" t="s">
        <v>29</v>
      </c>
      <c r="B189" s="3235" t="s">
        <v>3060</v>
      </c>
      <c r="C189" s="3235"/>
      <c r="D189" s="3235"/>
      <c r="E189" s="3235"/>
      <c r="F189" s="3235">
        <v>2050</v>
      </c>
      <c r="G189" s="3235"/>
    </row>
    <row r="190" spans="1:7" s="3213" customFormat="1" ht="14.25" customHeight="1">
      <c r="A190" s="3229" t="s">
        <v>304</v>
      </c>
      <c r="B190" s="3220" t="s">
        <v>3080</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3081</v>
      </c>
      <c r="C199" s="3224">
        <v>8690</v>
      </c>
      <c r="D199" s="3224">
        <v>8630</v>
      </c>
      <c r="E199" s="3224">
        <v>11350</v>
      </c>
      <c r="F199" s="3224">
        <v>1600</v>
      </c>
      <c r="G199" s="3237">
        <v>5450</v>
      </c>
    </row>
    <row r="200" spans="1:7" s="3213" customFormat="1" ht="14.25" customHeight="1">
      <c r="A200" s="3224" t="s">
        <v>304</v>
      </c>
      <c r="B200" s="3224" t="s">
        <v>2892</v>
      </c>
      <c r="C200" s="3224"/>
      <c r="D200" s="3224"/>
      <c r="E200" s="3224"/>
      <c r="F200" s="3224">
        <v>1510</v>
      </c>
      <c r="G200" s="3237"/>
    </row>
    <row r="201" spans="1:7" s="3213" customFormat="1" ht="14.25" customHeight="1">
      <c r="A201" s="3224" t="s">
        <v>304</v>
      </c>
      <c r="B201" s="3224" t="s">
        <v>3082</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3083</v>
      </c>
      <c r="C203" s="3224">
        <v>8130</v>
      </c>
      <c r="D203" s="3224">
        <v>8070</v>
      </c>
      <c r="E203" s="3224">
        <v>10820</v>
      </c>
      <c r="F203" s="3224">
        <v>1690</v>
      </c>
      <c r="G203" s="3237">
        <v>5100</v>
      </c>
    </row>
    <row r="204" spans="1:7" s="3213" customFormat="1" ht="14.25" customHeight="1">
      <c r="A204" s="3224" t="s">
        <v>304</v>
      </c>
      <c r="B204" s="3224" t="s">
        <v>2903</v>
      </c>
      <c r="C204" s="3224">
        <v>8350</v>
      </c>
      <c r="D204" s="3224">
        <v>8290</v>
      </c>
      <c r="E204" s="3224">
        <v>11080</v>
      </c>
      <c r="F204" s="3224">
        <v>1450</v>
      </c>
      <c r="G204" s="3237">
        <v>5240</v>
      </c>
    </row>
    <row r="205" spans="1:7" s="3213" customFormat="1" ht="14.25" customHeight="1">
      <c r="A205" s="3224" t="s">
        <v>304</v>
      </c>
      <c r="B205" s="3224" t="s">
        <v>2905</v>
      </c>
      <c r="C205" s="3224">
        <v>7190</v>
      </c>
      <c r="D205" s="3224">
        <v>7130</v>
      </c>
      <c r="E205" s="3224">
        <v>9490</v>
      </c>
      <c r="F205" s="3224">
        <v>1470</v>
      </c>
      <c r="G205" s="3237">
        <v>4510</v>
      </c>
    </row>
    <row r="206" spans="1:7" s="3213" customFormat="1" ht="14.25" customHeight="1">
      <c r="A206" s="3224" t="s">
        <v>304</v>
      </c>
      <c r="B206" s="3224" t="s">
        <v>2908</v>
      </c>
      <c r="C206" s="3224">
        <v>7000</v>
      </c>
      <c r="D206" s="3224">
        <v>6950</v>
      </c>
      <c r="E206" s="3224">
        <v>9170</v>
      </c>
      <c r="F206" s="3224">
        <v>1400</v>
      </c>
      <c r="G206" s="3237">
        <v>4380</v>
      </c>
    </row>
    <row r="207" spans="1:7" s="3213" customFormat="1" ht="14.25" customHeight="1">
      <c r="A207" s="3224" t="s">
        <v>304</v>
      </c>
      <c r="B207" s="3224" t="s">
        <v>2910</v>
      </c>
      <c r="C207" s="3224">
        <v>6950</v>
      </c>
      <c r="D207" s="3224">
        <v>6900</v>
      </c>
      <c r="E207" s="3224">
        <v>9110</v>
      </c>
      <c r="F207" s="3224">
        <v>1790</v>
      </c>
      <c r="G207" s="3237">
        <v>4360</v>
      </c>
    </row>
    <row r="208" spans="1:7" s="3213" customFormat="1" ht="14.25" customHeight="1">
      <c r="A208" s="3224" t="s">
        <v>304</v>
      </c>
      <c r="B208" s="3224" t="s">
        <v>3084</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2920</v>
      </c>
      <c r="C210" s="3224">
        <v>8710</v>
      </c>
      <c r="D210" s="3224">
        <v>8660</v>
      </c>
      <c r="E210" s="3224">
        <v>11440</v>
      </c>
      <c r="F210" s="3224">
        <v>1740</v>
      </c>
      <c r="G210" s="3237">
        <v>5470</v>
      </c>
    </row>
    <row r="211" spans="1:7" s="3213" customFormat="1" ht="14.25" customHeight="1">
      <c r="A211" s="3224" t="s">
        <v>304</v>
      </c>
      <c r="B211" s="3224" t="s">
        <v>3085</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3086</v>
      </c>
      <c r="C214" s="3224">
        <v>8090</v>
      </c>
      <c r="D214" s="3224">
        <v>8030</v>
      </c>
      <c r="E214" s="3224">
        <v>10780</v>
      </c>
      <c r="F214" s="3224">
        <v>1570</v>
      </c>
      <c r="G214" s="3237">
        <v>5070</v>
      </c>
    </row>
    <row r="215" spans="1:7" s="3213" customFormat="1" ht="14.25" customHeight="1">
      <c r="A215" s="3224" t="s">
        <v>304</v>
      </c>
      <c r="B215" s="3224" t="s">
        <v>3087</v>
      </c>
      <c r="C215" s="3224">
        <v>7950</v>
      </c>
      <c r="D215" s="3224">
        <v>7900</v>
      </c>
      <c r="E215" s="3224">
        <v>10560</v>
      </c>
      <c r="F215" s="3224">
        <v>1630</v>
      </c>
      <c r="G215" s="3237">
        <v>4990</v>
      </c>
    </row>
    <row r="216" spans="1:7" s="3213" customFormat="1" ht="14.25" customHeight="1">
      <c r="A216" s="3224" t="s">
        <v>304</v>
      </c>
      <c r="B216" s="3224" t="s">
        <v>3088</v>
      </c>
      <c r="C216" s="3224">
        <v>8490</v>
      </c>
      <c r="D216" s="3224">
        <v>8440</v>
      </c>
      <c r="E216" s="3224">
        <v>11260</v>
      </c>
      <c r="F216" s="3224">
        <v>1690</v>
      </c>
      <c r="G216" s="3237">
        <v>5330</v>
      </c>
    </row>
    <row r="217" spans="1:7" s="3213" customFormat="1" ht="14.25" customHeight="1">
      <c r="A217" s="3224" t="s">
        <v>304</v>
      </c>
      <c r="B217" s="3224" t="s">
        <v>2953</v>
      </c>
      <c r="C217" s="3224">
        <v>8200</v>
      </c>
      <c r="D217" s="3224">
        <v>8150</v>
      </c>
      <c r="E217" s="3224">
        <v>10910</v>
      </c>
      <c r="F217" s="3224">
        <v>1670</v>
      </c>
      <c r="G217" s="3237">
        <v>5150</v>
      </c>
    </row>
    <row r="218" spans="1:7" s="3213" customFormat="1" ht="14.25" customHeight="1">
      <c r="A218" s="3224" t="s">
        <v>304</v>
      </c>
      <c r="B218" s="3224" t="s">
        <v>3089</v>
      </c>
      <c r="C218" s="3224"/>
      <c r="D218" s="3224"/>
      <c r="E218" s="3224"/>
      <c r="F218" s="3224">
        <v>2040</v>
      </c>
      <c r="G218" s="3237"/>
    </row>
    <row r="219" spans="1:7" s="3213" customFormat="1" ht="14.25" customHeight="1">
      <c r="A219" s="3224" t="s">
        <v>304</v>
      </c>
      <c r="B219" s="3224" t="s">
        <v>3090</v>
      </c>
      <c r="C219" s="3224"/>
      <c r="D219" s="3224"/>
      <c r="E219" s="3224"/>
      <c r="F219" s="3224">
        <v>2040</v>
      </c>
      <c r="G219" s="3237"/>
    </row>
    <row r="220" spans="1:7" s="3213" customFormat="1" ht="14.25" customHeight="1">
      <c r="A220" s="3224" t="s">
        <v>304</v>
      </c>
      <c r="B220" s="3224" t="s">
        <v>3091</v>
      </c>
      <c r="C220" s="3224"/>
      <c r="D220" s="3224"/>
      <c r="E220" s="3224"/>
      <c r="F220" s="3224">
        <v>2040</v>
      </c>
      <c r="G220" s="3237"/>
    </row>
    <row r="221" spans="1:7" s="3213" customFormat="1" ht="14.25" customHeight="1">
      <c r="A221" s="3224" t="s">
        <v>304</v>
      </c>
      <c r="B221" s="3224" t="s">
        <v>3092</v>
      </c>
      <c r="C221" s="3224"/>
      <c r="D221" s="3224"/>
      <c r="E221" s="3224"/>
      <c r="F221" s="3224">
        <v>2040</v>
      </c>
      <c r="G221" s="3237"/>
    </row>
    <row r="222" spans="1:7" s="3213" customFormat="1" ht="14.25" customHeight="1">
      <c r="A222" s="3224" t="s">
        <v>304</v>
      </c>
      <c r="B222" s="3224" t="s">
        <v>3093</v>
      </c>
      <c r="C222" s="3224"/>
      <c r="D222" s="3224"/>
      <c r="E222" s="3224"/>
      <c r="F222" s="3224">
        <v>2040</v>
      </c>
      <c r="G222" s="3237"/>
    </row>
    <row r="223" spans="1:7" s="3213" customFormat="1" ht="14.25" customHeight="1">
      <c r="A223" s="3224" t="s">
        <v>304</v>
      </c>
      <c r="B223" s="3224" t="s">
        <v>3094</v>
      </c>
      <c r="C223" s="3224"/>
      <c r="D223" s="3224"/>
      <c r="E223" s="3224"/>
      <c r="F223" s="3224">
        <v>1930</v>
      </c>
      <c r="G223" s="3237"/>
    </row>
    <row r="224" spans="1:7" s="3213" customFormat="1" ht="14.25" customHeight="1">
      <c r="A224" s="3224" t="s">
        <v>304</v>
      </c>
      <c r="B224" s="3224" t="s">
        <v>3095</v>
      </c>
      <c r="C224" s="3224"/>
      <c r="D224" s="3224"/>
      <c r="E224" s="3224"/>
      <c r="F224" s="3224">
        <v>1930</v>
      </c>
      <c r="G224" s="3237"/>
    </row>
    <row r="225" spans="1:7" s="3213" customFormat="1" ht="14.25" customHeight="1">
      <c r="A225" s="3224" t="s">
        <v>304</v>
      </c>
      <c r="B225" s="3224" t="s">
        <v>3096</v>
      </c>
      <c r="C225" s="3224"/>
      <c r="D225" s="3224"/>
      <c r="E225" s="3224"/>
      <c r="F225" s="3224">
        <v>1930</v>
      </c>
      <c r="G225" s="3237"/>
    </row>
    <row r="226" spans="1:7" s="3213" customFormat="1" ht="14.25" customHeight="1">
      <c r="A226" s="3224" t="s">
        <v>304</v>
      </c>
      <c r="B226" s="3224" t="s">
        <v>3097</v>
      </c>
      <c r="C226" s="3224"/>
      <c r="D226" s="3224"/>
      <c r="E226" s="3224"/>
      <c r="F226" s="3224">
        <v>1700</v>
      </c>
      <c r="G226" s="3237"/>
    </row>
    <row r="227" spans="1:7" s="3213" customFormat="1" ht="14.25" customHeight="1">
      <c r="A227" s="3224" t="s">
        <v>304</v>
      </c>
      <c r="B227" s="3224" t="s">
        <v>3098</v>
      </c>
      <c r="C227" s="3224"/>
      <c r="D227" s="3224"/>
      <c r="E227" s="3224"/>
      <c r="F227" s="3224">
        <v>1520</v>
      </c>
      <c r="G227" s="3237"/>
    </row>
    <row r="228" spans="1:7" s="3213" customFormat="1" ht="14.25" customHeight="1">
      <c r="A228" s="3224" t="s">
        <v>304</v>
      </c>
      <c r="B228" s="3224" t="s">
        <v>3099</v>
      </c>
      <c r="C228" s="3224"/>
      <c r="D228" s="3224"/>
      <c r="E228" s="3224"/>
      <c r="F228" s="3224">
        <v>1520</v>
      </c>
      <c r="G228" s="3237"/>
    </row>
    <row r="229" spans="1:7" s="3213" customFormat="1" ht="14.25" customHeight="1">
      <c r="A229" s="3224" t="s">
        <v>304</v>
      </c>
      <c r="B229" s="3224" t="s">
        <v>3016</v>
      </c>
      <c r="C229" s="3224"/>
      <c r="D229" s="3224"/>
      <c r="E229" s="3224"/>
      <c r="F229" s="3224">
        <v>1520</v>
      </c>
      <c r="G229" s="3237"/>
    </row>
    <row r="230" spans="1:7" s="3213" customFormat="1" ht="14.25" customHeight="1">
      <c r="A230" s="3224" t="s">
        <v>304</v>
      </c>
      <c r="B230" s="3224" t="s">
        <v>3100</v>
      </c>
      <c r="C230" s="3224"/>
      <c r="D230" s="3224"/>
      <c r="E230" s="3224"/>
      <c r="F230" s="3224">
        <v>1820</v>
      </c>
      <c r="G230" s="3237"/>
    </row>
    <row r="231" spans="1:7" s="3213" customFormat="1" ht="14.25" customHeight="1">
      <c r="A231" s="3224" t="s">
        <v>304</v>
      </c>
      <c r="B231" s="3224" t="s">
        <v>3101</v>
      </c>
      <c r="C231" s="3224"/>
      <c r="D231" s="3224"/>
      <c r="E231" s="3224"/>
      <c r="F231" s="3224">
        <v>1760</v>
      </c>
      <c r="G231" s="3237"/>
    </row>
    <row r="232" spans="1:7" s="3213" customFormat="1" ht="14.25" customHeight="1">
      <c r="A232" s="3224" t="s">
        <v>304</v>
      </c>
      <c r="B232" s="3224" t="s">
        <v>3102</v>
      </c>
      <c r="C232" s="3224"/>
      <c r="D232" s="3224"/>
      <c r="E232" s="3224"/>
      <c r="F232" s="3224">
        <v>1840</v>
      </c>
      <c r="G232" s="3237"/>
    </row>
    <row r="233" spans="1:7" s="3213" customFormat="1" ht="14.25" customHeight="1" thickBot="1">
      <c r="A233" s="3238" t="s">
        <v>304</v>
      </c>
      <c r="B233" s="3231" t="s">
        <v>3033</v>
      </c>
      <c r="C233" s="3231"/>
      <c r="D233" s="3231"/>
      <c r="E233" s="3231"/>
      <c r="F233" s="3231">
        <v>1770</v>
      </c>
      <c r="G233" s="3239"/>
    </row>
    <row r="234" spans="1:7" s="3213" customFormat="1" ht="14.25" customHeight="1">
      <c r="A234" s="3229" t="s">
        <v>305</v>
      </c>
      <c r="B234" s="3220" t="s">
        <v>3103</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2874</v>
      </c>
      <c r="C238" s="3224">
        <v>6920</v>
      </c>
      <c r="D238" s="3224">
        <v>6890</v>
      </c>
      <c r="E238" s="3224">
        <v>8640</v>
      </c>
      <c r="F238" s="3224">
        <v>1310</v>
      </c>
      <c r="G238" s="3224">
        <v>4230</v>
      </c>
    </row>
    <row r="239" spans="1:7" s="3213" customFormat="1" ht="14.25" customHeight="1">
      <c r="A239" s="3224" t="s">
        <v>305</v>
      </c>
      <c r="B239" s="3224" t="s">
        <v>3104</v>
      </c>
      <c r="C239" s="3224">
        <v>6780</v>
      </c>
      <c r="D239" s="3224">
        <v>6750</v>
      </c>
      <c r="E239" s="3224">
        <v>8440</v>
      </c>
      <c r="F239" s="3224">
        <v>1160</v>
      </c>
      <c r="G239" s="3224">
        <v>4140</v>
      </c>
    </row>
    <row r="240" spans="1:7" s="3213" customFormat="1" ht="14.25" customHeight="1">
      <c r="A240" s="3224" t="s">
        <v>305</v>
      </c>
      <c r="B240" s="3224" t="s">
        <v>3105</v>
      </c>
      <c r="C240" s="3224">
        <v>5420</v>
      </c>
      <c r="D240" s="3224">
        <v>5380</v>
      </c>
      <c r="E240" s="3224">
        <v>6640</v>
      </c>
      <c r="F240" s="3224">
        <v>1020</v>
      </c>
      <c r="G240" s="3224">
        <v>3300</v>
      </c>
    </row>
    <row r="241" spans="1:7" s="3213" customFormat="1" ht="14.25" customHeight="1">
      <c r="A241" s="3224" t="s">
        <v>305</v>
      </c>
      <c r="B241" s="3224" t="s">
        <v>3106</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3107</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3108</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3109</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3110</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3111</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2936</v>
      </c>
      <c r="C258" s="3224">
        <v>6190</v>
      </c>
      <c r="D258" s="3224">
        <v>6160</v>
      </c>
      <c r="E258" s="3224">
        <v>7680</v>
      </c>
      <c r="F258" s="3224">
        <v>1170</v>
      </c>
      <c r="G258" s="3224">
        <v>3780</v>
      </c>
    </row>
    <row r="259" spans="1:7" s="3213" customFormat="1" ht="14.25" customHeight="1">
      <c r="A259" s="3224" t="s">
        <v>305</v>
      </c>
      <c r="B259" s="3224" t="s">
        <v>3112</v>
      </c>
      <c r="C259" s="3224">
        <v>7610</v>
      </c>
      <c r="D259" s="3224">
        <v>7570</v>
      </c>
      <c r="E259" s="3224">
        <v>9350</v>
      </c>
      <c r="F259" s="3224">
        <v>1350</v>
      </c>
      <c r="G259" s="3224">
        <v>4650</v>
      </c>
    </row>
    <row r="260" spans="1:7" s="3213" customFormat="1" ht="14.25" customHeight="1">
      <c r="A260" s="3224" t="s">
        <v>305</v>
      </c>
      <c r="B260" s="3224" t="s">
        <v>3113</v>
      </c>
      <c r="C260" s="3224">
        <v>6920</v>
      </c>
      <c r="D260" s="3224">
        <v>6880</v>
      </c>
      <c r="E260" s="3224">
        <v>8380</v>
      </c>
      <c r="F260" s="3224">
        <v>1160</v>
      </c>
      <c r="G260" s="3224">
        <v>4220</v>
      </c>
    </row>
    <row r="261" spans="1:7" s="3213" customFormat="1" ht="14.25" customHeight="1">
      <c r="A261" s="3224" t="s">
        <v>305</v>
      </c>
      <c r="B261" s="3224" t="s">
        <v>3114</v>
      </c>
      <c r="C261" s="3224">
        <v>6850</v>
      </c>
      <c r="D261" s="3224">
        <v>6810</v>
      </c>
      <c r="E261" s="3224">
        <v>8290</v>
      </c>
      <c r="F261" s="3224">
        <v>1130</v>
      </c>
      <c r="G261" s="3224">
        <v>4180</v>
      </c>
    </row>
    <row r="262" spans="1:7" s="3213" customFormat="1" ht="14.25" customHeight="1">
      <c r="A262" s="3224" t="s">
        <v>305</v>
      </c>
      <c r="B262" s="3224" t="s">
        <v>3115</v>
      </c>
      <c r="C262" s="3224">
        <v>5860</v>
      </c>
      <c r="D262" s="3224">
        <v>5820</v>
      </c>
      <c r="E262" s="3224">
        <v>7640</v>
      </c>
      <c r="F262" s="3224">
        <v>1070</v>
      </c>
      <c r="G262" s="3224">
        <v>3570</v>
      </c>
    </row>
    <row r="263" spans="1:7" s="3213" customFormat="1" ht="14.25" customHeight="1">
      <c r="A263" s="3224" t="s">
        <v>305</v>
      </c>
      <c r="B263" s="3224" t="s">
        <v>3116</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3117</v>
      </c>
      <c r="C265" s="3224"/>
      <c r="D265" s="3224"/>
      <c r="E265" s="3224"/>
      <c r="F265" s="3224">
        <v>1500</v>
      </c>
      <c r="G265" s="3224"/>
    </row>
    <row r="266" spans="1:7" s="3213" customFormat="1" ht="14.25" customHeight="1">
      <c r="A266" s="3224" t="s">
        <v>305</v>
      </c>
      <c r="B266" s="3224" t="s">
        <v>3118</v>
      </c>
      <c r="C266" s="3224"/>
      <c r="D266" s="3224"/>
      <c r="E266" s="3224"/>
      <c r="F266" s="3224">
        <v>1500</v>
      </c>
      <c r="G266" s="3224"/>
    </row>
    <row r="267" spans="1:7" s="3213" customFormat="1" ht="14.25" customHeight="1">
      <c r="A267" s="3224" t="s">
        <v>305</v>
      </c>
      <c r="B267" s="3224" t="s">
        <v>3119</v>
      </c>
      <c r="C267" s="3224"/>
      <c r="D267" s="3224"/>
      <c r="E267" s="3224"/>
      <c r="F267" s="3224">
        <v>1500</v>
      </c>
      <c r="G267" s="3224"/>
    </row>
    <row r="268" spans="1:7" s="3213" customFormat="1" ht="14.25" customHeight="1">
      <c r="A268" s="3224" t="s">
        <v>305</v>
      </c>
      <c r="B268" s="3224" t="s">
        <v>3120</v>
      </c>
      <c r="C268" s="3224"/>
      <c r="D268" s="3224"/>
      <c r="E268" s="3224"/>
      <c r="F268" s="3224">
        <v>1290</v>
      </c>
      <c r="G268" s="3224"/>
    </row>
    <row r="269" spans="1:7" s="3213" customFormat="1" ht="14.25" customHeight="1">
      <c r="A269" s="3224" t="s">
        <v>305</v>
      </c>
      <c r="B269" s="3224" t="s">
        <v>3121</v>
      </c>
      <c r="C269" s="3224"/>
      <c r="D269" s="3224"/>
      <c r="E269" s="3224"/>
      <c r="F269" s="3224">
        <v>1150</v>
      </c>
      <c r="G269" s="3224"/>
    </row>
    <row r="270" spans="1:7" s="3213" customFormat="1" ht="14.25" customHeight="1">
      <c r="A270" s="3224" t="s">
        <v>305</v>
      </c>
      <c r="B270" s="3224" t="s">
        <v>3122</v>
      </c>
      <c r="C270" s="3224"/>
      <c r="D270" s="3224"/>
      <c r="E270" s="3224"/>
      <c r="F270" s="3224">
        <v>1380</v>
      </c>
      <c r="G270" s="3224"/>
    </row>
    <row r="271" spans="1:7" s="3213" customFormat="1" ht="14.25" customHeight="1">
      <c r="A271" s="3224" t="s">
        <v>305</v>
      </c>
      <c r="B271" s="3224" t="s">
        <v>3123</v>
      </c>
      <c r="C271" s="3224"/>
      <c r="D271" s="3224"/>
      <c r="E271" s="3224"/>
      <c r="F271" s="3224">
        <v>1460</v>
      </c>
      <c r="G271" s="3224"/>
    </row>
    <row r="272" spans="1:7" s="3213" customFormat="1" ht="14.25" customHeight="1">
      <c r="A272" s="3224" t="s">
        <v>305</v>
      </c>
      <c r="B272" s="3224" t="s">
        <v>3124</v>
      </c>
      <c r="C272" s="3224"/>
      <c r="D272" s="3224"/>
      <c r="E272" s="3224"/>
      <c r="F272" s="3224">
        <v>1460</v>
      </c>
      <c r="G272" s="3224"/>
    </row>
    <row r="273" spans="1:7" s="3213" customFormat="1" ht="14.25" customHeight="1">
      <c r="A273" s="3224" t="s">
        <v>305</v>
      </c>
      <c r="B273" s="3224" t="s">
        <v>3017</v>
      </c>
      <c r="C273" s="3224"/>
      <c r="D273" s="3224"/>
      <c r="E273" s="3224"/>
      <c r="F273" s="3224">
        <v>1490</v>
      </c>
      <c r="G273" s="3224"/>
    </row>
    <row r="274" spans="1:7" s="3213" customFormat="1" ht="14.25" customHeight="1">
      <c r="A274" s="3224" t="s">
        <v>305</v>
      </c>
      <c r="B274" s="3224" t="s">
        <v>3125</v>
      </c>
      <c r="C274" s="3224"/>
      <c r="D274" s="3224"/>
      <c r="E274" s="3224"/>
      <c r="F274" s="3224">
        <v>1490</v>
      </c>
      <c r="G274" s="3224"/>
    </row>
    <row r="275" spans="1:7" s="3213" customFormat="1" ht="14.25" customHeight="1">
      <c r="A275" s="3224" t="s">
        <v>305</v>
      </c>
      <c r="B275" s="3224" t="s">
        <v>3126</v>
      </c>
      <c r="C275" s="3224"/>
      <c r="D275" s="3224"/>
      <c r="E275" s="3224"/>
      <c r="F275" s="3224">
        <v>1220</v>
      </c>
      <c r="G275" s="3224"/>
    </row>
    <row r="276" spans="1:7" s="3213" customFormat="1" ht="14.25" customHeight="1" thickBot="1">
      <c r="A276" s="3232" t="s">
        <v>305</v>
      </c>
      <c r="B276" s="3234" t="s">
        <v>3127</v>
      </c>
      <c r="C276" s="3235"/>
      <c r="D276" s="3235"/>
      <c r="E276" s="3235"/>
      <c r="F276" s="3235">
        <v>1380</v>
      </c>
      <c r="G276" s="3235"/>
    </row>
    <row r="277" spans="1:7" s="3213" customFormat="1" ht="14.25" customHeight="1">
      <c r="A277" s="3229" t="s">
        <v>306</v>
      </c>
      <c r="B277" s="3220" t="s">
        <v>3128</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3129</v>
      </c>
      <c r="C279" s="3224">
        <v>4760</v>
      </c>
      <c r="D279" s="3224">
        <v>4720</v>
      </c>
      <c r="E279" s="3224">
        <v>5540</v>
      </c>
      <c r="F279" s="3224">
        <v>810</v>
      </c>
      <c r="G279" s="3237">
        <v>2850</v>
      </c>
    </row>
    <row r="280" spans="1:7" s="3213" customFormat="1" ht="14.25" customHeight="1">
      <c r="A280" s="3224" t="s">
        <v>306</v>
      </c>
      <c r="B280" s="3224" t="s">
        <v>3130</v>
      </c>
      <c r="C280" s="3224">
        <v>4010</v>
      </c>
      <c r="D280" s="3224">
        <v>3950</v>
      </c>
      <c r="E280" s="3224">
        <v>4710</v>
      </c>
      <c r="F280" s="3224">
        <v>800</v>
      </c>
      <c r="G280" s="3237">
        <v>2390</v>
      </c>
    </row>
    <row r="281" spans="1:7" s="3213" customFormat="1" ht="14.25" customHeight="1">
      <c r="A281" s="3224" t="s">
        <v>306</v>
      </c>
      <c r="B281" s="3224" t="s">
        <v>3131</v>
      </c>
      <c r="C281" s="3224">
        <v>4480</v>
      </c>
      <c r="D281" s="3224">
        <v>4420</v>
      </c>
      <c r="E281" s="3224">
        <v>5230</v>
      </c>
      <c r="F281" s="3224">
        <v>870</v>
      </c>
      <c r="G281" s="3237">
        <v>2660</v>
      </c>
    </row>
    <row r="282" spans="1:7" s="3213" customFormat="1" ht="14.25" customHeight="1">
      <c r="A282" s="3224" t="s">
        <v>306</v>
      </c>
      <c r="B282" s="3224" t="s">
        <v>3132</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3133</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3134</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2909</v>
      </c>
      <c r="C293" s="3224">
        <v>5320</v>
      </c>
      <c r="D293" s="3224">
        <v>5270</v>
      </c>
      <c r="E293" s="3224">
        <v>6160</v>
      </c>
      <c r="F293" s="3224">
        <v>990</v>
      </c>
      <c r="G293" s="3237">
        <v>3170</v>
      </c>
    </row>
    <row r="294" spans="1:7" s="3213" customFormat="1" ht="14.25" customHeight="1">
      <c r="A294" s="3224" t="s">
        <v>306</v>
      </c>
      <c r="B294" s="3224" t="s">
        <v>3135</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2928</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3136</v>
      </c>
      <c r="C302" s="3224">
        <v>5520</v>
      </c>
      <c r="D302" s="3224">
        <v>5470</v>
      </c>
      <c r="E302" s="3224">
        <v>6410</v>
      </c>
      <c r="F302" s="3224">
        <v>950</v>
      </c>
      <c r="G302" s="3237">
        <v>3300</v>
      </c>
    </row>
    <row r="303" spans="1:7" s="3213" customFormat="1" ht="14.25" customHeight="1">
      <c r="A303" s="3224" t="s">
        <v>306</v>
      </c>
      <c r="B303" s="3224" t="s">
        <v>2948</v>
      </c>
      <c r="C303" s="3224">
        <v>5630</v>
      </c>
      <c r="D303" s="3224">
        <v>5590</v>
      </c>
      <c r="E303" s="3224">
        <v>6550</v>
      </c>
      <c r="F303" s="3224">
        <v>1010</v>
      </c>
      <c r="G303" s="3237">
        <v>3370</v>
      </c>
    </row>
    <row r="304" spans="1:7" s="3213" customFormat="1" ht="14.25" customHeight="1">
      <c r="A304" s="3224" t="s">
        <v>306</v>
      </c>
      <c r="B304" s="3224" t="s">
        <v>2955</v>
      </c>
      <c r="C304" s="3224">
        <v>5680</v>
      </c>
      <c r="D304" s="3224">
        <v>5620</v>
      </c>
      <c r="E304" s="3224">
        <v>6620</v>
      </c>
      <c r="F304" s="3224">
        <v>1050</v>
      </c>
      <c r="G304" s="3237">
        <v>3390</v>
      </c>
    </row>
    <row r="305" spans="1:7" s="3213" customFormat="1" ht="14.25" customHeight="1">
      <c r="A305" s="3224" t="s">
        <v>306</v>
      </c>
      <c r="B305" s="3224" t="s">
        <v>2961</v>
      </c>
      <c r="C305" s="3224">
        <v>5590</v>
      </c>
      <c r="D305" s="3224">
        <v>5530</v>
      </c>
      <c r="E305" s="3224">
        <v>6460</v>
      </c>
      <c r="F305" s="3224">
        <v>900</v>
      </c>
      <c r="G305" s="3237">
        <v>3340</v>
      </c>
    </row>
    <row r="306" spans="1:7" s="3213" customFormat="1" ht="14.25" customHeight="1">
      <c r="A306" s="3224" t="s">
        <v>306</v>
      </c>
      <c r="B306" s="3224" t="s">
        <v>3137</v>
      </c>
      <c r="C306" s="3224">
        <v>5560</v>
      </c>
      <c r="D306" s="3224">
        <v>5510</v>
      </c>
      <c r="E306" s="3224">
        <v>6440</v>
      </c>
      <c r="F306" s="3224">
        <v>900</v>
      </c>
      <c r="G306" s="3237">
        <v>3320</v>
      </c>
    </row>
    <row r="307" spans="1:7" s="3213" customFormat="1" ht="14.25" customHeight="1">
      <c r="A307" s="3224" t="s">
        <v>306</v>
      </c>
      <c r="B307" s="3224" t="s">
        <v>2973</v>
      </c>
      <c r="C307" s="3224">
        <v>5650</v>
      </c>
      <c r="D307" s="3224">
        <v>5600</v>
      </c>
      <c r="E307" s="3224">
        <v>6590</v>
      </c>
      <c r="F307" s="3224">
        <v>930</v>
      </c>
      <c r="G307" s="3237">
        <v>3380</v>
      </c>
    </row>
    <row r="308" spans="1:7" s="3213" customFormat="1" ht="14.25" customHeight="1">
      <c r="A308" s="3224" t="s">
        <v>306</v>
      </c>
      <c r="B308" s="3224" t="s">
        <v>3138</v>
      </c>
      <c r="C308" s="3224">
        <v>5620</v>
      </c>
      <c r="D308" s="3224">
        <v>5580</v>
      </c>
      <c r="E308" s="3224">
        <v>6540</v>
      </c>
      <c r="F308" s="3224">
        <v>910</v>
      </c>
      <c r="G308" s="3237">
        <v>3370</v>
      </c>
    </row>
    <row r="309" spans="1:7" s="3213" customFormat="1" ht="14.25" customHeight="1">
      <c r="A309" s="3224" t="s">
        <v>306</v>
      </c>
      <c r="B309" s="3224" t="s">
        <v>3139</v>
      </c>
      <c r="C309" s="3224">
        <v>5060</v>
      </c>
      <c r="D309" s="3224">
        <v>5020</v>
      </c>
      <c r="E309" s="3224">
        <v>6370</v>
      </c>
      <c r="F309" s="3224">
        <v>800</v>
      </c>
      <c r="G309" s="3237">
        <v>3020</v>
      </c>
    </row>
    <row r="310" spans="1:7" s="3213" customFormat="1" ht="14.25" customHeight="1">
      <c r="A310" s="3224" t="s">
        <v>306</v>
      </c>
      <c r="B310" s="3224" t="s">
        <v>2988</v>
      </c>
      <c r="C310" s="3224">
        <v>5150</v>
      </c>
      <c r="D310" s="3224">
        <v>5110</v>
      </c>
      <c r="E310" s="3224">
        <v>6500</v>
      </c>
      <c r="F310" s="3224">
        <v>880</v>
      </c>
      <c r="G310" s="3237">
        <v>3080</v>
      </c>
    </row>
    <row r="311" spans="1:7" s="3213" customFormat="1" ht="14.25" customHeight="1">
      <c r="A311" s="3224" t="s">
        <v>306</v>
      </c>
      <c r="B311" s="3224" t="s">
        <v>3140</v>
      </c>
      <c r="C311" s="3224">
        <v>4750</v>
      </c>
      <c r="D311" s="3224">
        <v>4710</v>
      </c>
      <c r="E311" s="3224">
        <v>5510</v>
      </c>
      <c r="F311" s="3224">
        <v>880</v>
      </c>
      <c r="G311" s="3237">
        <v>2840</v>
      </c>
    </row>
    <row r="312" spans="1:7" s="3213" customFormat="1" ht="14.25" customHeight="1">
      <c r="A312" s="3224" t="s">
        <v>306</v>
      </c>
      <c r="B312" s="3224" t="s">
        <v>2998</v>
      </c>
      <c r="C312" s="3224">
        <v>4690</v>
      </c>
      <c r="D312" s="3224">
        <v>4640</v>
      </c>
      <c r="E312" s="3224">
        <v>5420</v>
      </c>
      <c r="F312" s="3224">
        <v>800</v>
      </c>
      <c r="G312" s="3237">
        <v>2800</v>
      </c>
    </row>
    <row r="313" spans="1:7" s="3213" customFormat="1" ht="14.25" customHeight="1">
      <c r="A313" s="3224" t="s">
        <v>306</v>
      </c>
      <c r="B313" s="3224" t="s">
        <v>3003</v>
      </c>
      <c r="C313" s="3224">
        <v>4810</v>
      </c>
      <c r="D313" s="3224">
        <v>4760</v>
      </c>
      <c r="E313" s="3224">
        <v>5550</v>
      </c>
      <c r="F313" s="3224">
        <v>920</v>
      </c>
      <c r="G313" s="3237">
        <v>2870</v>
      </c>
    </row>
    <row r="314" spans="1:7" s="3213" customFormat="1" ht="14.25" customHeight="1">
      <c r="A314" s="3224" t="s">
        <v>306</v>
      </c>
      <c r="B314" s="3224" t="s">
        <v>3141</v>
      </c>
      <c r="C314" s="3224"/>
      <c r="D314" s="3224"/>
      <c r="E314" s="3224"/>
      <c r="F314" s="3224">
        <v>1020</v>
      </c>
      <c r="G314" s="3237"/>
    </row>
    <row r="315" spans="1:7" s="3213" customFormat="1" ht="14.25" customHeight="1">
      <c r="A315" s="3224" t="s">
        <v>306</v>
      </c>
      <c r="B315" s="3224" t="s">
        <v>3142</v>
      </c>
      <c r="C315" s="3224"/>
      <c r="D315" s="3224"/>
      <c r="E315" s="3224"/>
      <c r="F315" s="3224">
        <v>1050</v>
      </c>
      <c r="G315" s="3237"/>
    </row>
    <row r="316" spans="1:7" s="3213" customFormat="1" ht="14.25" customHeight="1">
      <c r="A316" s="3224" t="s">
        <v>306</v>
      </c>
      <c r="B316" s="3224" t="s">
        <v>3018</v>
      </c>
      <c r="C316" s="3224"/>
      <c r="D316" s="3224"/>
      <c r="E316" s="3224"/>
      <c r="F316" s="3224">
        <v>900</v>
      </c>
      <c r="G316" s="3237"/>
    </row>
    <row r="317" spans="1:7" s="3213" customFormat="1" ht="14.25" customHeight="1">
      <c r="A317" s="3224" t="s">
        <v>306</v>
      </c>
      <c r="B317" s="3224" t="s">
        <v>3143</v>
      </c>
      <c r="C317" s="3224"/>
      <c r="D317" s="3224"/>
      <c r="E317" s="3224"/>
      <c r="F317" s="3224">
        <v>920</v>
      </c>
      <c r="G317" s="3237"/>
    </row>
    <row r="318" spans="1:7" s="3213" customFormat="1" ht="14.25" customHeight="1">
      <c r="A318" s="3224" t="s">
        <v>306</v>
      </c>
      <c r="B318" s="3224" t="s">
        <v>3144</v>
      </c>
      <c r="C318" s="3224"/>
      <c r="D318" s="3224"/>
      <c r="E318" s="3224"/>
      <c r="F318" s="3224">
        <v>1080</v>
      </c>
      <c r="G318" s="3237"/>
    </row>
    <row r="319" spans="1:7" s="3213" customFormat="1" ht="14.25" customHeight="1">
      <c r="A319" s="3224" t="s">
        <v>306</v>
      </c>
      <c r="B319" s="3224" t="s">
        <v>3031</v>
      </c>
      <c r="C319" s="3224"/>
      <c r="D319" s="3224"/>
      <c r="E319" s="3224"/>
      <c r="F319" s="3224">
        <v>1020</v>
      </c>
      <c r="G319" s="3237"/>
    </row>
    <row r="320" spans="1:7" s="3213" customFormat="1" ht="14.25" customHeight="1">
      <c r="A320" s="3224" t="s">
        <v>306</v>
      </c>
      <c r="B320" s="3224" t="s">
        <v>3034</v>
      </c>
      <c r="C320" s="3224"/>
      <c r="D320" s="3224"/>
      <c r="E320" s="3224"/>
      <c r="F320" s="3224">
        <v>1050</v>
      </c>
      <c r="G320" s="3237"/>
    </row>
    <row r="321" spans="1:7" s="3213" customFormat="1" ht="14.25" customHeight="1">
      <c r="A321" s="3224" t="s">
        <v>306</v>
      </c>
      <c r="B321" s="3224" t="s">
        <v>3036</v>
      </c>
      <c r="C321" s="3224"/>
      <c r="D321" s="3224"/>
      <c r="E321" s="3224"/>
      <c r="F321" s="3224">
        <v>960</v>
      </c>
      <c r="G321" s="3237"/>
    </row>
    <row r="322" spans="1:7" s="3213" customFormat="1" ht="14.25" customHeight="1">
      <c r="A322" s="3224" t="s">
        <v>306</v>
      </c>
      <c r="B322" s="3224" t="s">
        <v>3038</v>
      </c>
      <c r="C322" s="3224"/>
      <c r="D322" s="3224"/>
      <c r="E322" s="3224"/>
      <c r="F322" s="3224">
        <v>960</v>
      </c>
      <c r="G322" s="3237"/>
    </row>
    <row r="323" spans="1:7" s="3213" customFormat="1" ht="14.25" customHeight="1">
      <c r="A323" s="3224" t="s">
        <v>306</v>
      </c>
      <c r="B323" s="3224" t="s">
        <v>3040</v>
      </c>
      <c r="C323" s="3224"/>
      <c r="D323" s="3224"/>
      <c r="E323" s="3224"/>
      <c r="F323" s="3224">
        <v>880</v>
      </c>
      <c r="G323" s="3237"/>
    </row>
    <row r="324" spans="1:7" s="3213" customFormat="1" ht="14.25" customHeight="1">
      <c r="A324" s="3224" t="s">
        <v>306</v>
      </c>
      <c r="B324" s="3224" t="s">
        <v>3042</v>
      </c>
      <c r="C324" s="3224"/>
      <c r="D324" s="3224"/>
      <c r="E324" s="3224"/>
      <c r="F324" s="3224">
        <v>930</v>
      </c>
      <c r="G324" s="3237"/>
    </row>
    <row r="325" spans="1:7" s="3213" customFormat="1" ht="14.25" customHeight="1">
      <c r="A325" s="3224" t="s">
        <v>306</v>
      </c>
      <c r="B325" s="3225" t="s">
        <v>3044</v>
      </c>
      <c r="C325" s="3224"/>
      <c r="D325" s="3224"/>
      <c r="E325" s="3224"/>
      <c r="F325" s="3224">
        <v>900</v>
      </c>
      <c r="G325" s="3237"/>
    </row>
    <row r="326" spans="1:7" s="3213" customFormat="1" ht="14.25" customHeight="1" thickBot="1">
      <c r="A326" s="3238" t="s">
        <v>306</v>
      </c>
      <c r="B326" s="3231" t="s">
        <v>3046</v>
      </c>
      <c r="C326" s="3231"/>
      <c r="D326" s="3231"/>
      <c r="E326" s="3231"/>
      <c r="F326" s="3231">
        <v>790</v>
      </c>
      <c r="G326" s="3239"/>
    </row>
    <row r="327" spans="1:7" s="3213" customFormat="1" ht="14.25" customHeight="1">
      <c r="A327" s="3229" t="s">
        <v>307</v>
      </c>
      <c r="B327" s="3220" t="s">
        <v>3145</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3146</v>
      </c>
      <c r="C329" s="3224">
        <v>2730</v>
      </c>
      <c r="D329" s="3224">
        <v>2690</v>
      </c>
      <c r="E329" s="3224">
        <v>3100</v>
      </c>
      <c r="F329" s="3224">
        <v>660</v>
      </c>
      <c r="G329" s="3224">
        <v>1610</v>
      </c>
    </row>
    <row r="330" spans="1:7" s="3213" customFormat="1" ht="14.25" customHeight="1">
      <c r="A330" s="3224" t="s">
        <v>307</v>
      </c>
      <c r="B330" s="3224" t="s">
        <v>3147</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2880</v>
      </c>
      <c r="C332" s="3224">
        <v>3520</v>
      </c>
      <c r="D332" s="3224">
        <v>3480</v>
      </c>
      <c r="E332" s="3224">
        <v>3830</v>
      </c>
      <c r="F332" s="3224">
        <v>720</v>
      </c>
      <c r="G332" s="3224">
        <v>2090</v>
      </c>
    </row>
    <row r="333" spans="1:7" s="3213" customFormat="1" ht="14.25" customHeight="1">
      <c r="A333" s="3224" t="s">
        <v>307</v>
      </c>
      <c r="B333" s="3224" t="s">
        <v>3148</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2890</v>
      </c>
      <c r="C336" s="3224">
        <v>3570</v>
      </c>
      <c r="D336" s="3224">
        <v>3530</v>
      </c>
      <c r="E336" s="3224">
        <v>3880</v>
      </c>
      <c r="F336" s="3224">
        <v>770</v>
      </c>
      <c r="G336" s="3224">
        <v>2110</v>
      </c>
    </row>
    <row r="337" spans="1:10" s="3213" customFormat="1" ht="14.25" customHeight="1">
      <c r="A337" s="3224" t="s">
        <v>307</v>
      </c>
      <c r="B337" s="3224" t="s">
        <v>3149</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3150</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3151</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2915</v>
      </c>
      <c r="C345" s="3224">
        <v>3190</v>
      </c>
      <c r="D345" s="3224">
        <v>3140</v>
      </c>
      <c r="E345" s="3224">
        <v>3450</v>
      </c>
      <c r="F345" s="3224">
        <v>720</v>
      </c>
      <c r="G345" s="3224">
        <v>1880</v>
      </c>
      <c r="J345" s="3213"/>
    </row>
    <row r="346" spans="1:10">
      <c r="A346" s="3224" t="s">
        <v>307</v>
      </c>
      <c r="B346" s="3224" t="s">
        <v>3152</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2924</v>
      </c>
      <c r="C348" s="3224">
        <v>4000</v>
      </c>
      <c r="D348" s="3224">
        <v>3950</v>
      </c>
      <c r="E348" s="3224">
        <v>4430</v>
      </c>
      <c r="F348" s="3224">
        <v>760</v>
      </c>
      <c r="G348" s="3224">
        <v>2360</v>
      </c>
      <c r="J348" s="3213"/>
    </row>
    <row r="349" spans="1:10">
      <c r="A349" s="3224" t="s">
        <v>307</v>
      </c>
      <c r="B349" s="3224" t="s">
        <v>2929</v>
      </c>
      <c r="C349" s="3224">
        <v>3820</v>
      </c>
      <c r="D349" s="3224">
        <v>3780</v>
      </c>
      <c r="E349" s="3224">
        <v>4170</v>
      </c>
      <c r="F349" s="3224">
        <v>710</v>
      </c>
      <c r="G349" s="3224">
        <v>2260</v>
      </c>
      <c r="J349" s="3213"/>
    </row>
    <row r="350" spans="1:10">
      <c r="A350" s="3224" t="s">
        <v>307</v>
      </c>
      <c r="B350" s="3224" t="s">
        <v>3153</v>
      </c>
      <c r="C350" s="3224">
        <v>3760</v>
      </c>
      <c r="D350" s="3224">
        <v>3730</v>
      </c>
      <c r="E350" s="3224">
        <v>4100</v>
      </c>
      <c r="F350" s="3224">
        <v>800</v>
      </c>
      <c r="G350" s="3224">
        <v>2230</v>
      </c>
      <c r="J350" s="3213"/>
    </row>
    <row r="351" spans="1:10">
      <c r="A351" s="3224" t="s">
        <v>307</v>
      </c>
      <c r="B351" s="3224" t="s">
        <v>2937</v>
      </c>
      <c r="C351" s="3224">
        <v>3610</v>
      </c>
      <c r="D351" s="3224">
        <v>3580</v>
      </c>
      <c r="E351" s="3224">
        <v>3930</v>
      </c>
      <c r="F351" s="3224">
        <v>700</v>
      </c>
      <c r="G351" s="3224">
        <v>2140</v>
      </c>
      <c r="J351" s="3213"/>
    </row>
    <row r="352" spans="1:10">
      <c r="A352" s="3224" t="s">
        <v>307</v>
      </c>
      <c r="B352" s="3224" t="s">
        <v>2942</v>
      </c>
      <c r="C352" s="3224">
        <v>3670</v>
      </c>
      <c r="D352" s="3224">
        <v>3630</v>
      </c>
      <c r="E352" s="3224">
        <v>4000</v>
      </c>
      <c r="F352" s="3224">
        <v>750</v>
      </c>
      <c r="G352" s="3224">
        <v>2180</v>
      </c>
    </row>
    <row r="353" spans="1:7" s="3217" customFormat="1">
      <c r="A353" s="3224" t="s">
        <v>307</v>
      </c>
      <c r="B353" s="3224" t="s">
        <v>3154</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2962</v>
      </c>
      <c r="C355" s="3224">
        <v>3650</v>
      </c>
      <c r="D355" s="3224">
        <v>3610</v>
      </c>
      <c r="E355" s="3224">
        <v>4200</v>
      </c>
      <c r="F355" s="3224">
        <v>640</v>
      </c>
      <c r="G355" s="3224">
        <v>2160</v>
      </c>
    </row>
    <row r="356" spans="1:7" s="3217" customFormat="1">
      <c r="A356" s="3224" t="s">
        <v>307</v>
      </c>
      <c r="B356" s="3224" t="s">
        <v>2969</v>
      </c>
      <c r="C356" s="3224">
        <v>3260</v>
      </c>
      <c r="D356" s="3224">
        <v>3230</v>
      </c>
      <c r="E356" s="3224">
        <v>3740</v>
      </c>
      <c r="F356" s="3224">
        <v>600</v>
      </c>
      <c r="G356" s="3224">
        <v>1930</v>
      </c>
    </row>
    <row r="357" spans="1:7" s="3217" customFormat="1" ht="12" thickBot="1">
      <c r="A357" s="3232" t="s">
        <v>307</v>
      </c>
      <c r="B357" s="3235" t="s">
        <v>3155</v>
      </c>
      <c r="C357" s="3235">
        <v>3690</v>
      </c>
      <c r="D357" s="3235">
        <v>3650</v>
      </c>
      <c r="E357" s="3235">
        <v>4020</v>
      </c>
      <c r="F357" s="3235">
        <v>700</v>
      </c>
      <c r="G357" s="3235">
        <v>2190</v>
      </c>
    </row>
    <row r="358" spans="1:7" s="3217" customFormat="1">
      <c r="A358" s="3229" t="s">
        <v>3156</v>
      </c>
      <c r="B358" s="3220" t="s">
        <v>3157</v>
      </c>
      <c r="C358" s="3220">
        <v>2080</v>
      </c>
      <c r="D358" s="3220">
        <v>2040</v>
      </c>
      <c r="E358" s="3220">
        <v>2010</v>
      </c>
      <c r="F358" s="3220">
        <v>530</v>
      </c>
      <c r="G358" s="3236">
        <v>1230</v>
      </c>
    </row>
    <row r="359" spans="1:7" s="3217" customFormat="1">
      <c r="A359" s="3224" t="s">
        <v>3156</v>
      </c>
      <c r="B359" s="3224" t="s">
        <v>3158</v>
      </c>
      <c r="C359" s="3224">
        <v>1850</v>
      </c>
      <c r="D359" s="3224">
        <v>1820</v>
      </c>
      <c r="E359" s="3224">
        <v>1780</v>
      </c>
      <c r="F359" s="3224">
        <v>520</v>
      </c>
      <c r="G359" s="3237">
        <v>1100</v>
      </c>
    </row>
    <row r="360" spans="1:7" s="3217" customFormat="1">
      <c r="A360" s="3224" t="s">
        <v>3156</v>
      </c>
      <c r="B360" s="3224" t="s">
        <v>3159</v>
      </c>
      <c r="C360" s="3224">
        <v>2020</v>
      </c>
      <c r="D360" s="3224">
        <v>1990</v>
      </c>
      <c r="E360" s="3224">
        <v>1950</v>
      </c>
      <c r="F360" s="3224">
        <v>500</v>
      </c>
      <c r="G360" s="3237">
        <v>1200</v>
      </c>
    </row>
    <row r="361" spans="1:7" s="3217" customFormat="1">
      <c r="A361" s="3224" t="s">
        <v>3156</v>
      </c>
      <c r="B361" s="3224" t="s">
        <v>153</v>
      </c>
      <c r="C361" s="3224">
        <v>2260</v>
      </c>
      <c r="D361" s="3224">
        <v>2220</v>
      </c>
      <c r="E361" s="3224">
        <v>2180</v>
      </c>
      <c r="F361" s="3224">
        <v>580</v>
      </c>
      <c r="G361" s="3237">
        <v>1340</v>
      </c>
    </row>
    <row r="362" spans="1:7" s="3217" customFormat="1">
      <c r="A362" s="3224" t="s">
        <v>3156</v>
      </c>
      <c r="B362" s="3224" t="s">
        <v>3160</v>
      </c>
      <c r="C362" s="3224">
        <v>2650</v>
      </c>
      <c r="D362" s="3224">
        <v>2610</v>
      </c>
      <c r="E362" s="3224">
        <v>2570</v>
      </c>
      <c r="F362" s="3224">
        <v>630</v>
      </c>
      <c r="G362" s="3237">
        <v>1570</v>
      </c>
    </row>
    <row r="363" spans="1:7" s="3217" customFormat="1">
      <c r="A363" s="3224" t="s">
        <v>3156</v>
      </c>
      <c r="B363" s="3224" t="s">
        <v>2881</v>
      </c>
      <c r="C363" s="3224">
        <v>2390</v>
      </c>
      <c r="D363" s="3224">
        <v>2360</v>
      </c>
      <c r="E363" s="3224">
        <v>2320</v>
      </c>
      <c r="F363" s="3224">
        <v>600</v>
      </c>
      <c r="G363" s="3237">
        <v>1420</v>
      </c>
    </row>
    <row r="364" spans="1:7" s="3217" customFormat="1">
      <c r="A364" s="3224" t="s">
        <v>3156</v>
      </c>
      <c r="B364" s="3224" t="s">
        <v>3161</v>
      </c>
      <c r="C364" s="3224">
        <v>2050</v>
      </c>
      <c r="D364" s="3224">
        <v>2030</v>
      </c>
      <c r="E364" s="3224">
        <v>1990</v>
      </c>
      <c r="F364" s="3224">
        <v>550</v>
      </c>
      <c r="G364" s="3237">
        <v>1220</v>
      </c>
    </row>
    <row r="365" spans="1:7" s="3217" customFormat="1">
      <c r="A365" s="3224" t="s">
        <v>3156</v>
      </c>
      <c r="B365" s="3224" t="s">
        <v>200</v>
      </c>
      <c r="C365" s="3224">
        <v>2140</v>
      </c>
      <c r="D365" s="3224">
        <v>2100</v>
      </c>
      <c r="E365" s="3224">
        <v>2060</v>
      </c>
      <c r="F365" s="3224">
        <v>540</v>
      </c>
      <c r="G365" s="3237">
        <v>1270</v>
      </c>
    </row>
    <row r="366" spans="1:7" s="3217" customFormat="1">
      <c r="A366" s="3224" t="s">
        <v>3156</v>
      </c>
      <c r="B366" s="3224" t="s">
        <v>2888</v>
      </c>
      <c r="C366" s="3224">
        <v>2410</v>
      </c>
      <c r="D366" s="3224">
        <v>2370</v>
      </c>
      <c r="E366" s="3224">
        <v>2330</v>
      </c>
      <c r="F366" s="3224">
        <v>570</v>
      </c>
      <c r="G366" s="3237">
        <v>1440</v>
      </c>
    </row>
    <row r="367" spans="1:7" s="3217" customFormat="1">
      <c r="A367" s="3224" t="s">
        <v>3156</v>
      </c>
      <c r="B367" s="3224" t="s">
        <v>3162</v>
      </c>
      <c r="C367" s="3224">
        <v>2300</v>
      </c>
      <c r="D367" s="3224">
        <v>2260</v>
      </c>
      <c r="E367" s="3224">
        <v>2220</v>
      </c>
      <c r="F367" s="3224">
        <v>560</v>
      </c>
      <c r="G367" s="3237">
        <v>1370</v>
      </c>
    </row>
    <row r="368" spans="1:7" s="3217" customFormat="1">
      <c r="A368" s="3224" t="s">
        <v>3156</v>
      </c>
      <c r="B368" s="3224" t="s">
        <v>3163</v>
      </c>
      <c r="C368" s="3224">
        <v>2430</v>
      </c>
      <c r="D368" s="3224">
        <v>2390</v>
      </c>
      <c r="E368" s="3224">
        <v>2350</v>
      </c>
      <c r="F368" s="3224">
        <v>570</v>
      </c>
      <c r="G368" s="3237">
        <v>1450</v>
      </c>
    </row>
    <row r="369" spans="1:7" s="3217" customFormat="1">
      <c r="A369" s="3224" t="s">
        <v>3156</v>
      </c>
      <c r="B369" s="3224" t="s">
        <v>214</v>
      </c>
      <c r="C369" s="3224">
        <v>2320</v>
      </c>
      <c r="D369" s="3224">
        <v>2290</v>
      </c>
      <c r="E369" s="3224">
        <v>2250</v>
      </c>
      <c r="F369" s="3224">
        <v>550</v>
      </c>
      <c r="G369" s="3237">
        <v>1380</v>
      </c>
    </row>
    <row r="370" spans="1:7" s="3217" customFormat="1">
      <c r="A370" s="3224" t="s">
        <v>3156</v>
      </c>
      <c r="B370" s="3224" t="s">
        <v>221</v>
      </c>
      <c r="C370" s="3224">
        <v>2190</v>
      </c>
      <c r="D370" s="3224">
        <v>2170</v>
      </c>
      <c r="E370" s="3224">
        <v>2130</v>
      </c>
      <c r="F370" s="3224">
        <v>530</v>
      </c>
      <c r="G370" s="3237">
        <v>1310</v>
      </c>
    </row>
    <row r="371" spans="1:7" s="3217" customFormat="1">
      <c r="A371" s="3224" t="s">
        <v>3156</v>
      </c>
      <c r="B371" s="3224" t="s">
        <v>229</v>
      </c>
      <c r="C371" s="3224">
        <v>2460</v>
      </c>
      <c r="D371" s="3224">
        <v>2420</v>
      </c>
      <c r="E371" s="3224">
        <v>2370</v>
      </c>
      <c r="F371" s="3224">
        <v>560</v>
      </c>
      <c r="G371" s="3237">
        <v>1470</v>
      </c>
    </row>
    <row r="372" spans="1:7" s="3217" customFormat="1">
      <c r="A372" s="3224" t="s">
        <v>3156</v>
      </c>
      <c r="B372" s="3224" t="s">
        <v>3164</v>
      </c>
      <c r="C372" s="3224">
        <v>2250</v>
      </c>
      <c r="D372" s="3224">
        <v>2210</v>
      </c>
      <c r="E372" s="3224">
        <v>2180</v>
      </c>
      <c r="F372" s="3224">
        <v>550</v>
      </c>
      <c r="G372" s="3237">
        <v>1340</v>
      </c>
    </row>
    <row r="373" spans="1:7" s="3217" customFormat="1">
      <c r="A373" s="3224" t="s">
        <v>3156</v>
      </c>
      <c r="B373" s="3224" t="s">
        <v>258</v>
      </c>
      <c r="C373" s="3224">
        <v>2210</v>
      </c>
      <c r="D373" s="3224">
        <v>2190</v>
      </c>
      <c r="E373" s="3224">
        <v>2150</v>
      </c>
      <c r="F373" s="3224">
        <v>530</v>
      </c>
      <c r="G373" s="3237">
        <v>1320</v>
      </c>
    </row>
    <row r="374" spans="1:7" s="3217" customFormat="1">
      <c r="A374" s="3224" t="s">
        <v>3156</v>
      </c>
      <c r="B374" s="3224" t="s">
        <v>266</v>
      </c>
      <c r="C374" s="3224">
        <v>2320</v>
      </c>
      <c r="D374" s="3224">
        <v>2280</v>
      </c>
      <c r="E374" s="3224">
        <v>2230</v>
      </c>
      <c r="F374" s="3224">
        <v>580</v>
      </c>
      <c r="G374" s="3237">
        <v>1380</v>
      </c>
    </row>
    <row r="375" spans="1:7" s="3217" customFormat="1">
      <c r="A375" s="3224" t="s">
        <v>3156</v>
      </c>
      <c r="B375" s="3224" t="s">
        <v>3165</v>
      </c>
      <c r="C375" s="3224">
        <v>2090</v>
      </c>
      <c r="D375" s="3224">
        <v>2050</v>
      </c>
      <c r="E375" s="3224">
        <v>2020</v>
      </c>
      <c r="F375" s="3224">
        <v>520</v>
      </c>
      <c r="G375" s="3237">
        <v>1240</v>
      </c>
    </row>
    <row r="376" spans="1:7" s="3217" customFormat="1">
      <c r="A376" s="3224" t="s">
        <v>3156</v>
      </c>
      <c r="B376" s="3224" t="s">
        <v>277</v>
      </c>
      <c r="C376" s="3224">
        <v>2010</v>
      </c>
      <c r="D376" s="3224">
        <v>1980</v>
      </c>
      <c r="E376" s="3224">
        <v>1940</v>
      </c>
      <c r="F376" s="3224">
        <v>540</v>
      </c>
      <c r="G376" s="3237">
        <v>1190</v>
      </c>
    </row>
    <row r="377" spans="1:7" s="3217" customFormat="1" ht="12" thickBot="1">
      <c r="A377" s="3232" t="s">
        <v>3156</v>
      </c>
      <c r="B377" s="3235" t="s">
        <v>2918</v>
      </c>
      <c r="C377" s="3235">
        <v>1930</v>
      </c>
      <c r="D377" s="3235">
        <v>1890</v>
      </c>
      <c r="E377" s="3235">
        <v>1860</v>
      </c>
      <c r="F377" s="3235">
        <v>530</v>
      </c>
      <c r="G377" s="3240">
        <v>1150</v>
      </c>
    </row>
    <row r="378" spans="1:7" s="3217" customFormat="1">
      <c r="A378" s="3241" t="s">
        <v>3166</v>
      </c>
      <c r="B378" s="3220" t="s">
        <v>3167</v>
      </c>
      <c r="C378" s="3220">
        <v>1520</v>
      </c>
      <c r="D378" s="3220">
        <v>1490</v>
      </c>
      <c r="E378" s="3220">
        <v>1460</v>
      </c>
      <c r="F378" s="3220">
        <v>460</v>
      </c>
      <c r="G378" s="3236">
        <v>940</v>
      </c>
    </row>
    <row r="379" spans="1:7" s="3217" customFormat="1">
      <c r="A379" s="3242" t="s">
        <v>3166</v>
      </c>
      <c r="B379" s="3224" t="s">
        <v>3168</v>
      </c>
      <c r="C379" s="3224">
        <v>1500</v>
      </c>
      <c r="D379" s="3224">
        <v>1470</v>
      </c>
      <c r="E379" s="3224">
        <v>1430</v>
      </c>
      <c r="F379" s="3224">
        <v>460</v>
      </c>
      <c r="G379" s="3237">
        <v>920</v>
      </c>
    </row>
    <row r="380" spans="1:7" s="3217" customFormat="1">
      <c r="A380" s="3242" t="s">
        <v>3166</v>
      </c>
      <c r="B380" s="3224" t="s">
        <v>3169</v>
      </c>
      <c r="C380" s="3224">
        <v>1620</v>
      </c>
      <c r="D380" s="3224">
        <v>1590</v>
      </c>
      <c r="E380" s="3224">
        <v>1560</v>
      </c>
      <c r="F380" s="3224">
        <v>480</v>
      </c>
      <c r="G380" s="3237">
        <v>1000</v>
      </c>
    </row>
    <row r="381" spans="1:7" s="3217" customFormat="1">
      <c r="A381" s="3242" t="s">
        <v>3166</v>
      </c>
      <c r="B381" s="3224" t="s">
        <v>3170</v>
      </c>
      <c r="C381" s="3224">
        <v>1460</v>
      </c>
      <c r="D381" s="3224">
        <v>1430</v>
      </c>
      <c r="E381" s="3224">
        <v>1390</v>
      </c>
      <c r="F381" s="3224">
        <v>450</v>
      </c>
      <c r="G381" s="3237">
        <v>900</v>
      </c>
    </row>
    <row r="382" spans="1:7" s="3217" customFormat="1">
      <c r="A382" s="3242" t="s">
        <v>3166</v>
      </c>
      <c r="B382" s="3224" t="s">
        <v>3171</v>
      </c>
      <c r="C382" s="3224">
        <v>1310</v>
      </c>
      <c r="D382" s="3224">
        <v>1280</v>
      </c>
      <c r="E382" s="3224">
        <v>1250</v>
      </c>
      <c r="F382" s="3224">
        <v>440</v>
      </c>
      <c r="G382" s="3237">
        <v>800</v>
      </c>
    </row>
    <row r="383" spans="1:7" s="3217" customFormat="1">
      <c r="A383" s="3242" t="s">
        <v>3166</v>
      </c>
      <c r="B383" s="3224" t="s">
        <v>3172</v>
      </c>
      <c r="C383" s="3224">
        <v>1260</v>
      </c>
      <c r="D383" s="3224">
        <v>1230</v>
      </c>
      <c r="E383" s="3224">
        <v>1200</v>
      </c>
      <c r="F383" s="3224">
        <v>420</v>
      </c>
      <c r="G383" s="3237">
        <v>770</v>
      </c>
    </row>
    <row r="384" spans="1:7" s="3217" customFormat="1" ht="12" thickBot="1">
      <c r="A384" s="3243" t="s">
        <v>3166</v>
      </c>
      <c r="B384" s="3231" t="s">
        <v>3173</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797" t="s">
        <v>3174</v>
      </c>
      <c r="B1" s="3797"/>
    </row>
    <row r="2" spans="1:7" ht="14.25" thickBot="1">
      <c r="A2" s="3246"/>
      <c r="B2" s="3246"/>
    </row>
    <row r="3" spans="1:7" ht="14.25" thickBot="1">
      <c r="A3" s="3246"/>
      <c r="B3" s="3246"/>
      <c r="C3" s="3247" t="s">
        <v>2804</v>
      </c>
      <c r="D3" s="3247" t="s">
        <v>2860</v>
      </c>
      <c r="E3" s="3247" t="s">
        <v>2806</v>
      </c>
      <c r="F3" s="3247" t="s">
        <v>2861</v>
      </c>
      <c r="G3" s="3247" t="s">
        <v>2624</v>
      </c>
    </row>
    <row r="4" spans="1:7" ht="14.25" thickBot="1">
      <c r="A4" s="3248" t="s">
        <v>2859</v>
      </c>
      <c r="B4" s="3249" t="s">
        <v>2865</v>
      </c>
      <c r="C4" s="3247"/>
      <c r="D4" s="3247"/>
      <c r="E4" s="3247"/>
      <c r="F4" s="3247"/>
      <c r="G4" s="3247"/>
    </row>
    <row r="5" spans="1:7">
      <c r="A5" s="3250" t="s">
        <v>2833</v>
      </c>
      <c r="B5" s="3251" t="s">
        <v>2847</v>
      </c>
      <c r="C5" s="3252">
        <v>9.8000000000000004E-2</v>
      </c>
      <c r="D5" s="3252">
        <v>8.6999999999999994E-2</v>
      </c>
      <c r="E5" s="3252">
        <v>8.6999999999999994E-2</v>
      </c>
      <c r="F5" s="3252">
        <v>9.8000000000000004E-2</v>
      </c>
      <c r="G5" s="3253">
        <v>9.5000000000000001E-2</v>
      </c>
    </row>
    <row r="6" spans="1:7">
      <c r="A6" s="3254" t="s">
        <v>144</v>
      </c>
      <c r="B6" s="3255" t="s">
        <v>2862</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2848</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2898</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2916</v>
      </c>
      <c r="C29" s="3264"/>
      <c r="D29" s="3260">
        <v>5.1999999999999998E-2</v>
      </c>
      <c r="E29" s="3260">
        <v>7.0000000000000007E-2</v>
      </c>
      <c r="F29" s="3264"/>
      <c r="G29" s="3262">
        <v>7.0999999999999994E-2</v>
      </c>
    </row>
    <row r="30" spans="1:7">
      <c r="A30" s="3265" t="s">
        <v>296</v>
      </c>
      <c r="B30" s="3251" t="s">
        <v>2849</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2835</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2919</v>
      </c>
      <c r="C50" s="3256">
        <v>9.8000000000000004E-2</v>
      </c>
      <c r="D50" s="3256">
        <v>7.2999999999999995E-2</v>
      </c>
      <c r="E50" s="3256">
        <v>7.0999999999999994E-2</v>
      </c>
      <c r="F50" s="3267"/>
      <c r="G50" s="3257">
        <v>7.2999999999999995E-2</v>
      </c>
    </row>
    <row r="51" spans="1:7">
      <c r="A51" s="3266" t="s">
        <v>296</v>
      </c>
      <c r="B51" s="3255" t="s">
        <v>2921</v>
      </c>
      <c r="C51" s="3256">
        <v>9.9000000000000005E-2</v>
      </c>
      <c r="D51" s="3256">
        <v>8.5000000000000006E-2</v>
      </c>
      <c r="E51" s="3256">
        <v>6.3E-2</v>
      </c>
      <c r="F51" s="3267"/>
      <c r="G51" s="3257">
        <v>9.6000000000000002E-2</v>
      </c>
    </row>
    <row r="52" spans="1:7">
      <c r="A52" s="3266" t="s">
        <v>296</v>
      </c>
      <c r="B52" s="3255" t="s">
        <v>2925</v>
      </c>
      <c r="C52" s="3256">
        <v>7.3999999999999996E-2</v>
      </c>
      <c r="D52" s="3256">
        <v>9.6000000000000002E-2</v>
      </c>
      <c r="E52" s="3256">
        <v>0.05</v>
      </c>
      <c r="F52" s="3267"/>
      <c r="G52" s="3257">
        <v>9.8000000000000004E-2</v>
      </c>
    </row>
    <row r="53" spans="1:7">
      <c r="A53" s="3266" t="s">
        <v>296</v>
      </c>
      <c r="B53" s="3255" t="s">
        <v>2930</v>
      </c>
      <c r="C53" s="3256">
        <v>8.5999999999999993E-2</v>
      </c>
      <c r="D53" s="3267"/>
      <c r="E53" s="3256">
        <v>9.1999999999999998E-2</v>
      </c>
      <c r="F53" s="3267"/>
      <c r="G53" s="3268"/>
    </row>
    <row r="54" spans="1:7" ht="14.25" thickBot="1">
      <c r="A54" s="3269" t="s">
        <v>296</v>
      </c>
      <c r="B54" s="3259" t="s">
        <v>2933</v>
      </c>
      <c r="C54" s="3260">
        <v>9.6000000000000002E-2</v>
      </c>
      <c r="D54" s="3261"/>
      <c r="E54" s="3270"/>
      <c r="F54" s="3261"/>
      <c r="G54" s="3271"/>
    </row>
    <row r="55" spans="1:7">
      <c r="A55" s="3265" t="s">
        <v>110</v>
      </c>
      <c r="B55" s="3251" t="s">
        <v>2850</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2931</v>
      </c>
      <c r="C78" s="3256">
        <v>0.1</v>
      </c>
      <c r="D78" s="3256">
        <v>8.5000000000000006E-2</v>
      </c>
      <c r="E78" s="3256">
        <v>9.6000000000000002E-2</v>
      </c>
      <c r="F78" s="3267"/>
      <c r="G78" s="3257">
        <v>9.6000000000000002E-2</v>
      </c>
    </row>
    <row r="79" spans="1:7">
      <c r="A79" s="3266" t="s">
        <v>110</v>
      </c>
      <c r="B79" s="3255" t="s">
        <v>2934</v>
      </c>
      <c r="C79" s="3256">
        <v>0.05</v>
      </c>
      <c r="D79" s="3256">
        <v>9.6000000000000002E-2</v>
      </c>
      <c r="E79" s="3256">
        <v>9.5000000000000001E-2</v>
      </c>
      <c r="F79" s="3267"/>
      <c r="G79" s="3257">
        <v>9.8000000000000004E-2</v>
      </c>
    </row>
    <row r="80" spans="1:7">
      <c r="A80" s="3266" t="s">
        <v>110</v>
      </c>
      <c r="B80" s="3255" t="s">
        <v>2938</v>
      </c>
      <c r="C80" s="3256">
        <v>8.5999999999999993E-2</v>
      </c>
      <c r="D80" s="3272"/>
      <c r="E80" s="3256">
        <v>0.1</v>
      </c>
      <c r="F80" s="3267"/>
      <c r="G80" s="3268"/>
    </row>
    <row r="81" spans="1:7">
      <c r="A81" s="3266" t="s">
        <v>110</v>
      </c>
      <c r="B81" s="3255" t="s">
        <v>2943</v>
      </c>
      <c r="C81" s="3256">
        <v>9.6000000000000002E-2</v>
      </c>
      <c r="D81" s="3267"/>
      <c r="E81" s="3256">
        <v>9.8000000000000004E-2</v>
      </c>
      <c r="F81" s="3267"/>
      <c r="G81" s="3268"/>
    </row>
    <row r="82" spans="1:7">
      <c r="A82" s="3266" t="s">
        <v>110</v>
      </c>
      <c r="B82" s="3255" t="s">
        <v>2950</v>
      </c>
      <c r="C82" s="3272"/>
      <c r="D82" s="3267"/>
      <c r="E82" s="3256">
        <v>7.6999999999999999E-2</v>
      </c>
      <c r="F82" s="3267"/>
      <c r="G82" s="3268"/>
    </row>
    <row r="83" spans="1:7">
      <c r="A83" s="3266" t="s">
        <v>110</v>
      </c>
      <c r="B83" s="3255" t="s">
        <v>2956</v>
      </c>
      <c r="C83" s="3267"/>
      <c r="D83" s="3267"/>
      <c r="E83" s="3267"/>
      <c r="F83" s="3256">
        <v>0.1</v>
      </c>
      <c r="G83" s="3273"/>
    </row>
    <row r="84" spans="1:7">
      <c r="A84" s="3266" t="s">
        <v>110</v>
      </c>
      <c r="B84" s="3255" t="s">
        <v>2963</v>
      </c>
      <c r="C84" s="3267"/>
      <c r="D84" s="3267"/>
      <c r="E84" s="3267"/>
      <c r="F84" s="3256">
        <v>0.1</v>
      </c>
      <c r="G84" s="3273"/>
    </row>
    <row r="85" spans="1:7">
      <c r="A85" s="3266" t="s">
        <v>110</v>
      </c>
      <c r="B85" s="3255" t="s">
        <v>2970</v>
      </c>
      <c r="C85" s="3267"/>
      <c r="D85" s="3267"/>
      <c r="E85" s="3267"/>
      <c r="F85" s="3256">
        <v>0.1</v>
      </c>
      <c r="G85" s="3273"/>
    </row>
    <row r="86" spans="1:7" ht="14.25" thickBot="1">
      <c r="A86" s="3269" t="s">
        <v>110</v>
      </c>
      <c r="B86" s="3259" t="s">
        <v>2975</v>
      </c>
      <c r="C86" s="3260">
        <v>9.8000000000000004E-2</v>
      </c>
      <c r="D86" s="3260">
        <v>9.8000000000000004E-2</v>
      </c>
      <c r="E86" s="3260">
        <v>9.6000000000000002E-2</v>
      </c>
      <c r="F86" s="3270"/>
      <c r="G86" s="3262">
        <v>0.1</v>
      </c>
    </row>
    <row r="87" spans="1:7">
      <c r="A87" s="3265" t="s">
        <v>303</v>
      </c>
      <c r="B87" s="3251" t="s">
        <v>2851</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2944</v>
      </c>
      <c r="C113" s="3256">
        <v>0.1</v>
      </c>
      <c r="D113" s="3256">
        <v>0.1</v>
      </c>
      <c r="E113" s="3267"/>
      <c r="F113" s="3267"/>
      <c r="G113" s="3257">
        <v>0.1</v>
      </c>
    </row>
    <row r="114" spans="1:7">
      <c r="A114" s="3266" t="s">
        <v>303</v>
      </c>
      <c r="B114" s="3255" t="s">
        <v>2951</v>
      </c>
      <c r="C114" s="3256">
        <v>9.7000000000000003E-2</v>
      </c>
      <c r="D114" s="3256">
        <v>9.7000000000000003E-2</v>
      </c>
      <c r="E114" s="3267"/>
      <c r="F114" s="3267"/>
      <c r="G114" s="3257">
        <v>9.9000000000000005E-2</v>
      </c>
    </row>
    <row r="115" spans="1:7">
      <c r="A115" s="3266" t="s">
        <v>303</v>
      </c>
      <c r="B115" s="3255" t="s">
        <v>2957</v>
      </c>
      <c r="C115" s="3256">
        <v>0.1</v>
      </c>
      <c r="D115" s="3256">
        <v>0.1</v>
      </c>
      <c r="E115" s="3267"/>
      <c r="F115" s="3267"/>
      <c r="G115" s="3257">
        <v>0.1</v>
      </c>
    </row>
    <row r="116" spans="1:7">
      <c r="A116" s="3266" t="s">
        <v>303</v>
      </c>
      <c r="B116" s="3255" t="s">
        <v>2964</v>
      </c>
      <c r="C116" s="3256">
        <v>0.1</v>
      </c>
      <c r="D116" s="3256">
        <v>0.1</v>
      </c>
      <c r="E116" s="3267"/>
      <c r="F116" s="3267"/>
      <c r="G116" s="3257">
        <v>0.1</v>
      </c>
    </row>
    <row r="117" spans="1:7">
      <c r="A117" s="3266" t="s">
        <v>303</v>
      </c>
      <c r="B117" s="3255" t="s">
        <v>2971</v>
      </c>
      <c r="C117" s="3256">
        <v>9.7000000000000003E-2</v>
      </c>
      <c r="D117" s="3256">
        <v>9.7000000000000003E-2</v>
      </c>
      <c r="E117" s="3267"/>
      <c r="F117" s="3267"/>
      <c r="G117" s="3257">
        <v>9.7000000000000003E-2</v>
      </c>
    </row>
    <row r="118" spans="1:7">
      <c r="A118" s="3266" t="s">
        <v>303</v>
      </c>
      <c r="B118" s="3255" t="s">
        <v>2976</v>
      </c>
      <c r="C118" s="3256">
        <v>0.1</v>
      </c>
      <c r="D118" s="3256">
        <v>0.1</v>
      </c>
      <c r="E118" s="3267"/>
      <c r="F118" s="3267"/>
      <c r="G118" s="3257">
        <v>0.1</v>
      </c>
    </row>
    <row r="119" spans="1:7">
      <c r="A119" s="3266" t="s">
        <v>303</v>
      </c>
      <c r="B119" s="3255" t="s">
        <v>2980</v>
      </c>
      <c r="C119" s="3256">
        <v>5.0999999999999997E-2</v>
      </c>
      <c r="D119" s="3256">
        <v>5.1999999999999998E-2</v>
      </c>
      <c r="E119" s="3267"/>
      <c r="F119" s="3272"/>
      <c r="G119" s="3257">
        <v>0.06</v>
      </c>
    </row>
    <row r="120" spans="1:7">
      <c r="A120" s="3266" t="s">
        <v>303</v>
      </c>
      <c r="B120" s="3255" t="s">
        <v>2984</v>
      </c>
      <c r="C120" s="3267"/>
      <c r="D120" s="3267"/>
      <c r="E120" s="3267"/>
      <c r="F120" s="3256">
        <v>0.1</v>
      </c>
      <c r="G120" s="3273"/>
    </row>
    <row r="121" spans="1:7">
      <c r="A121" s="3266" t="s">
        <v>303</v>
      </c>
      <c r="B121" s="3255" t="s">
        <v>2989</v>
      </c>
      <c r="C121" s="3267"/>
      <c r="D121" s="3267"/>
      <c r="E121" s="3267"/>
      <c r="F121" s="3256">
        <v>0.1</v>
      </c>
      <c r="G121" s="3273"/>
    </row>
    <row r="122" spans="1:7">
      <c r="A122" s="3266" t="s">
        <v>303</v>
      </c>
      <c r="B122" s="3255" t="s">
        <v>2994</v>
      </c>
      <c r="C122" s="3256">
        <v>0.1</v>
      </c>
      <c r="D122" s="3256">
        <v>0.1</v>
      </c>
      <c r="E122" s="3256">
        <v>9.8000000000000004E-2</v>
      </c>
      <c r="F122" s="3256">
        <v>0.1</v>
      </c>
      <c r="G122" s="3257">
        <v>0.1</v>
      </c>
    </row>
    <row r="123" spans="1:7">
      <c r="A123" s="3266" t="s">
        <v>303</v>
      </c>
      <c r="B123" s="3255" t="s">
        <v>2999</v>
      </c>
      <c r="C123" s="3256">
        <v>0.1</v>
      </c>
      <c r="D123" s="3256">
        <v>0.1</v>
      </c>
      <c r="E123" s="3256">
        <v>9.8000000000000004E-2</v>
      </c>
      <c r="F123" s="3256">
        <v>0.1</v>
      </c>
      <c r="G123" s="3257">
        <v>0.1</v>
      </c>
    </row>
    <row r="124" spans="1:7">
      <c r="A124" s="3266" t="s">
        <v>303</v>
      </c>
      <c r="B124" s="3255" t="s">
        <v>3004</v>
      </c>
      <c r="C124" s="3256">
        <v>0.1</v>
      </c>
      <c r="D124" s="3256">
        <v>0.1</v>
      </c>
      <c r="E124" s="3256">
        <v>9.8000000000000004E-2</v>
      </c>
      <c r="F124" s="3272"/>
      <c r="G124" s="3257">
        <v>0.1</v>
      </c>
    </row>
    <row r="125" spans="1:7">
      <c r="A125" s="3266" t="s">
        <v>303</v>
      </c>
      <c r="B125" s="3255" t="s">
        <v>3009</v>
      </c>
      <c r="C125" s="3256">
        <v>9.8000000000000004E-2</v>
      </c>
      <c r="D125" s="3256">
        <v>9.8000000000000004E-2</v>
      </c>
      <c r="E125" s="3256">
        <v>9.6000000000000002E-2</v>
      </c>
      <c r="F125" s="3272"/>
      <c r="G125" s="3257">
        <v>0.1</v>
      </c>
    </row>
    <row r="126" spans="1:7" ht="14.25" thickBot="1">
      <c r="A126" s="3269" t="s">
        <v>303</v>
      </c>
      <c r="B126" s="3259" t="s">
        <v>3175</v>
      </c>
      <c r="C126" s="3260">
        <v>0.1</v>
      </c>
      <c r="D126" s="3260">
        <v>0.1</v>
      </c>
      <c r="E126" s="3260">
        <v>9.8000000000000004E-2</v>
      </c>
      <c r="F126" s="3260">
        <v>0.1</v>
      </c>
      <c r="G126" s="3262">
        <v>0.1</v>
      </c>
    </row>
    <row r="127" spans="1:7">
      <c r="A127" s="3265" t="s">
        <v>29</v>
      </c>
      <c r="B127" s="3251" t="s">
        <v>2852</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2922</v>
      </c>
      <c r="C148" s="3256">
        <v>0.13</v>
      </c>
      <c r="D148" s="3256">
        <v>0.13</v>
      </c>
      <c r="E148" s="3256">
        <v>0.13</v>
      </c>
      <c r="F148" s="3267"/>
      <c r="G148" s="3257">
        <v>0.13</v>
      </c>
    </row>
    <row r="149" spans="1:7">
      <c r="A149" s="3266" t="s">
        <v>29</v>
      </c>
      <c r="B149" s="3255" t="s">
        <v>2926</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2945</v>
      </c>
      <c r="C153" s="3256">
        <v>0.13</v>
      </c>
      <c r="D153" s="3256">
        <v>0.13</v>
      </c>
      <c r="E153" s="3256">
        <v>0.13</v>
      </c>
      <c r="F153" s="3256">
        <v>0.13</v>
      </c>
      <c r="G153" s="3257">
        <v>0.13</v>
      </c>
    </row>
    <row r="154" spans="1:7">
      <c r="A154" s="3266" t="s">
        <v>29</v>
      </c>
      <c r="B154" s="3255" t="s">
        <v>2952</v>
      </c>
      <c r="C154" s="3256">
        <v>0.121</v>
      </c>
      <c r="D154" s="3256">
        <v>0.121</v>
      </c>
      <c r="E154" s="3256">
        <v>0.105</v>
      </c>
      <c r="F154" s="3256">
        <v>0.121</v>
      </c>
      <c r="G154" s="3257">
        <v>0.123</v>
      </c>
    </row>
    <row r="155" spans="1:7">
      <c r="A155" s="3266" t="s">
        <v>29</v>
      </c>
      <c r="B155" s="3255" t="s">
        <v>2958</v>
      </c>
      <c r="C155" s="3256">
        <v>0.1</v>
      </c>
      <c r="D155" s="3256">
        <v>0.1</v>
      </c>
      <c r="E155" s="3256">
        <v>0.1</v>
      </c>
      <c r="F155" s="3256">
        <v>0.1</v>
      </c>
      <c r="G155" s="3257">
        <v>0.1</v>
      </c>
    </row>
    <row r="156" spans="1:7">
      <c r="A156" s="3266" t="s">
        <v>29</v>
      </c>
      <c r="B156" s="3255" t="s">
        <v>2965</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2985</v>
      </c>
      <c r="C160" s="3256">
        <v>0.13</v>
      </c>
      <c r="D160" s="3256">
        <v>0.13</v>
      </c>
      <c r="E160" s="3256">
        <v>0.124</v>
      </c>
      <c r="F160" s="3256">
        <v>0.126</v>
      </c>
      <c r="G160" s="3257">
        <v>0.13</v>
      </c>
    </row>
    <row r="161" spans="1:7">
      <c r="A161" s="3266" t="s">
        <v>29</v>
      </c>
      <c r="B161" s="3255" t="s">
        <v>2990</v>
      </c>
      <c r="C161" s="3256">
        <v>0.13</v>
      </c>
      <c r="D161" s="3256">
        <v>0.13</v>
      </c>
      <c r="E161" s="3256">
        <v>0.124</v>
      </c>
      <c r="F161" s="3256">
        <v>0.127</v>
      </c>
      <c r="G161" s="3257">
        <v>0.13</v>
      </c>
    </row>
    <row r="162" spans="1:7">
      <c r="A162" s="3266" t="s">
        <v>29</v>
      </c>
      <c r="B162" s="3255" t="s">
        <v>2995</v>
      </c>
      <c r="C162" s="3256">
        <v>0.1</v>
      </c>
      <c r="D162" s="3256">
        <v>0.1</v>
      </c>
      <c r="E162" s="3256">
        <v>0.1</v>
      </c>
      <c r="F162" s="3256">
        <v>0.121</v>
      </c>
      <c r="G162" s="3257">
        <v>0.105</v>
      </c>
    </row>
    <row r="163" spans="1:7">
      <c r="A163" s="3266" t="s">
        <v>29</v>
      </c>
      <c r="B163" s="3255" t="s">
        <v>3000</v>
      </c>
      <c r="C163" s="3256">
        <v>0.1</v>
      </c>
      <c r="D163" s="3256">
        <v>0.1</v>
      </c>
      <c r="E163" s="3256">
        <v>0.1</v>
      </c>
      <c r="F163" s="3256">
        <v>0.1</v>
      </c>
      <c r="G163" s="3257">
        <v>0.1</v>
      </c>
    </row>
    <row r="164" spans="1:7">
      <c r="A164" s="3266" t="s">
        <v>29</v>
      </c>
      <c r="B164" s="3255" t="s">
        <v>3005</v>
      </c>
      <c r="C164" s="3272"/>
      <c r="D164" s="3272"/>
      <c r="E164" s="3272"/>
      <c r="F164" s="3256">
        <v>0.1</v>
      </c>
      <c r="G164" s="3268"/>
    </row>
    <row r="165" spans="1:7">
      <c r="A165" s="3266" t="s">
        <v>29</v>
      </c>
      <c r="B165" s="3255" t="s">
        <v>3176</v>
      </c>
      <c r="C165" s="3256">
        <v>0.126</v>
      </c>
      <c r="D165" s="3256">
        <v>0.126</v>
      </c>
      <c r="E165" s="3256">
        <v>0.11899999999999999</v>
      </c>
      <c r="F165" s="3256">
        <v>0.13</v>
      </c>
      <c r="G165" s="3257">
        <v>0.128</v>
      </c>
    </row>
    <row r="166" spans="1:7">
      <c r="A166" s="3266" t="s">
        <v>29</v>
      </c>
      <c r="B166" s="3255" t="s">
        <v>3015</v>
      </c>
      <c r="C166" s="3256">
        <v>0.129</v>
      </c>
      <c r="D166" s="3256">
        <v>0.129</v>
      </c>
      <c r="E166" s="3256">
        <v>0.123</v>
      </c>
      <c r="F166" s="3256">
        <v>0.128</v>
      </c>
      <c r="G166" s="3257">
        <v>0.13</v>
      </c>
    </row>
    <row r="167" spans="1:7">
      <c r="A167" s="3266" t="s">
        <v>29</v>
      </c>
      <c r="B167" s="3255" t="s">
        <v>3019</v>
      </c>
      <c r="C167" s="3256">
        <v>0.125</v>
      </c>
      <c r="D167" s="3256">
        <v>0.125</v>
      </c>
      <c r="E167" s="3256">
        <v>0.11700000000000001</v>
      </c>
      <c r="F167" s="3256">
        <v>0.13</v>
      </c>
      <c r="G167" s="3257">
        <v>0.126</v>
      </c>
    </row>
    <row r="168" spans="1:7">
      <c r="A168" s="3266" t="s">
        <v>29</v>
      </c>
      <c r="B168" s="3255" t="s">
        <v>3024</v>
      </c>
      <c r="C168" s="3256">
        <v>0.128</v>
      </c>
      <c r="D168" s="3256">
        <v>0.128</v>
      </c>
      <c r="E168" s="3256">
        <v>0.123</v>
      </c>
      <c r="F168" s="3267"/>
      <c r="G168" s="3257">
        <v>0.13</v>
      </c>
    </row>
    <row r="169" spans="1:7">
      <c r="A169" s="3266" t="s">
        <v>29</v>
      </c>
      <c r="B169" s="3255" t="s">
        <v>3177</v>
      </c>
      <c r="C169" s="3272"/>
      <c r="D169" s="3272"/>
      <c r="E169" s="3272"/>
      <c r="F169" s="3256">
        <v>0.05</v>
      </c>
      <c r="G169" s="3268"/>
    </row>
    <row r="170" spans="1:7">
      <c r="A170" s="3266" t="s">
        <v>29</v>
      </c>
      <c r="B170" s="3255" t="s">
        <v>3178</v>
      </c>
      <c r="C170" s="3272"/>
      <c r="D170" s="3272"/>
      <c r="E170" s="3272"/>
      <c r="F170" s="3256">
        <v>0.05</v>
      </c>
      <c r="G170" s="3268"/>
    </row>
    <row r="171" spans="1:7">
      <c r="A171" s="3266" t="s">
        <v>29</v>
      </c>
      <c r="B171" s="3255" t="s">
        <v>3179</v>
      </c>
      <c r="C171" s="3272"/>
      <c r="D171" s="3272"/>
      <c r="E171" s="3272"/>
      <c r="F171" s="3256">
        <v>0.05</v>
      </c>
      <c r="G171" s="3273"/>
    </row>
    <row r="172" spans="1:7">
      <c r="A172" s="3266" t="s">
        <v>29</v>
      </c>
      <c r="B172" s="3255" t="s">
        <v>3180</v>
      </c>
      <c r="C172" s="3272"/>
      <c r="D172" s="3272"/>
      <c r="E172" s="3272"/>
      <c r="F172" s="3256">
        <v>0.05</v>
      </c>
      <c r="G172" s="3273"/>
    </row>
    <row r="173" spans="1:7">
      <c r="A173" s="3266" t="s">
        <v>29</v>
      </c>
      <c r="B173" s="3255" t="s">
        <v>3181</v>
      </c>
      <c r="C173" s="3272"/>
      <c r="D173" s="3272"/>
      <c r="E173" s="3272"/>
      <c r="F173" s="3256">
        <v>0.05</v>
      </c>
      <c r="G173" s="3268"/>
    </row>
    <row r="174" spans="1:7">
      <c r="A174" s="3266" t="s">
        <v>29</v>
      </c>
      <c r="B174" s="3255" t="s">
        <v>3182</v>
      </c>
      <c r="C174" s="3272"/>
      <c r="D174" s="3272"/>
      <c r="E174" s="3272"/>
      <c r="F174" s="3256">
        <v>0.05</v>
      </c>
      <c r="G174" s="3268"/>
    </row>
    <row r="175" spans="1:7">
      <c r="A175" s="3266" t="s">
        <v>29</v>
      </c>
      <c r="B175" s="3255" t="s">
        <v>3183</v>
      </c>
      <c r="C175" s="3272"/>
      <c r="D175" s="3272"/>
      <c r="E175" s="3272"/>
      <c r="F175" s="3256">
        <v>0.05</v>
      </c>
      <c r="G175" s="3268"/>
    </row>
    <row r="176" spans="1:7">
      <c r="A176" s="3266" t="s">
        <v>29</v>
      </c>
      <c r="B176" s="3255" t="s">
        <v>3184</v>
      </c>
      <c r="C176" s="3272"/>
      <c r="D176" s="3272"/>
      <c r="E176" s="3272"/>
      <c r="F176" s="3256">
        <v>0.05</v>
      </c>
      <c r="G176" s="3268"/>
    </row>
    <row r="177" spans="1:7">
      <c r="A177" s="3266" t="s">
        <v>29</v>
      </c>
      <c r="B177" s="3255" t="s">
        <v>3185</v>
      </c>
      <c r="C177" s="3267"/>
      <c r="D177" s="3267"/>
      <c r="E177" s="3267"/>
      <c r="F177" s="3256">
        <v>0.05</v>
      </c>
      <c r="G177" s="3273"/>
    </row>
    <row r="178" spans="1:7">
      <c r="A178" s="3266" t="s">
        <v>29</v>
      </c>
      <c r="B178" s="3255" t="s">
        <v>3186</v>
      </c>
      <c r="C178" s="3267"/>
      <c r="D178" s="3267"/>
      <c r="E178" s="3267"/>
      <c r="F178" s="3256">
        <v>0.05</v>
      </c>
      <c r="G178" s="3273"/>
    </row>
    <row r="179" spans="1:7">
      <c r="A179" s="3266" t="s">
        <v>29</v>
      </c>
      <c r="B179" s="3255" t="s">
        <v>3187</v>
      </c>
      <c r="C179" s="3267"/>
      <c r="D179" s="3267"/>
      <c r="E179" s="3267"/>
      <c r="F179" s="3256">
        <v>0.05</v>
      </c>
      <c r="G179" s="3273"/>
    </row>
    <row r="180" spans="1:7">
      <c r="A180" s="3266" t="s">
        <v>29</v>
      </c>
      <c r="B180" s="3255" t="s">
        <v>3188</v>
      </c>
      <c r="C180" s="3267"/>
      <c r="D180" s="3267"/>
      <c r="E180" s="3267"/>
      <c r="F180" s="3256">
        <v>0.05</v>
      </c>
      <c r="G180" s="3273"/>
    </row>
    <row r="181" spans="1:7">
      <c r="A181" s="3266" t="s">
        <v>29</v>
      </c>
      <c r="B181" s="3255" t="s">
        <v>3189</v>
      </c>
      <c r="C181" s="3267"/>
      <c r="D181" s="3267"/>
      <c r="E181" s="3267"/>
      <c r="F181" s="3256">
        <v>0.05</v>
      </c>
      <c r="G181" s="3273"/>
    </row>
    <row r="182" spans="1:7">
      <c r="A182" s="3266" t="s">
        <v>29</v>
      </c>
      <c r="B182" s="3255" t="s">
        <v>3190</v>
      </c>
      <c r="C182" s="3267"/>
      <c r="D182" s="3267"/>
      <c r="E182" s="3267"/>
      <c r="F182" s="3256">
        <v>0.05</v>
      </c>
      <c r="G182" s="3273"/>
    </row>
    <row r="183" spans="1:7">
      <c r="A183" s="3266" t="s">
        <v>29</v>
      </c>
      <c r="B183" s="3255" t="s">
        <v>3191</v>
      </c>
      <c r="C183" s="3267"/>
      <c r="D183" s="3267"/>
      <c r="E183" s="3267"/>
      <c r="F183" s="3256">
        <v>0.05</v>
      </c>
      <c r="G183" s="3273"/>
    </row>
    <row r="184" spans="1:7">
      <c r="A184" s="3266" t="s">
        <v>29</v>
      </c>
      <c r="B184" s="3255" t="s">
        <v>3192</v>
      </c>
      <c r="C184" s="3267"/>
      <c r="D184" s="3267"/>
      <c r="E184" s="3267"/>
      <c r="F184" s="3256">
        <v>0.05</v>
      </c>
      <c r="G184" s="3273"/>
    </row>
    <row r="185" spans="1:7">
      <c r="A185" s="3266" t="s">
        <v>29</v>
      </c>
      <c r="B185" s="3255" t="s">
        <v>3193</v>
      </c>
      <c r="C185" s="3267"/>
      <c r="D185" s="3267"/>
      <c r="E185" s="3267"/>
      <c r="F185" s="3256">
        <v>0.05</v>
      </c>
      <c r="G185" s="3273"/>
    </row>
    <row r="186" spans="1:7">
      <c r="A186" s="3266" t="s">
        <v>29</v>
      </c>
      <c r="B186" s="3255" t="s">
        <v>3194</v>
      </c>
      <c r="C186" s="3267"/>
      <c r="D186" s="3267"/>
      <c r="E186" s="3267"/>
      <c r="F186" s="3256">
        <v>0.05</v>
      </c>
      <c r="G186" s="3273"/>
    </row>
    <row r="187" spans="1:7">
      <c r="A187" s="3266" t="s">
        <v>29</v>
      </c>
      <c r="B187" s="3255" t="s">
        <v>3195</v>
      </c>
      <c r="C187" s="3267"/>
      <c r="D187" s="3267"/>
      <c r="E187" s="3267"/>
      <c r="F187" s="3256">
        <v>0.05</v>
      </c>
      <c r="G187" s="3273"/>
    </row>
    <row r="188" spans="1:7">
      <c r="A188" s="3266" t="s">
        <v>29</v>
      </c>
      <c r="B188" s="3255" t="s">
        <v>3196</v>
      </c>
      <c r="C188" s="3267"/>
      <c r="D188" s="3267"/>
      <c r="E188" s="3267"/>
      <c r="F188" s="3256">
        <v>0.05</v>
      </c>
      <c r="G188" s="3273"/>
    </row>
    <row r="189" spans="1:7" ht="14.25" thickBot="1">
      <c r="A189" s="3269" t="s">
        <v>29</v>
      </c>
      <c r="B189" s="3259" t="s">
        <v>3197</v>
      </c>
      <c r="C189" s="3261"/>
      <c r="D189" s="3261"/>
      <c r="E189" s="3261"/>
      <c r="F189" s="3260">
        <v>0.05</v>
      </c>
      <c r="G189" s="3274"/>
    </row>
    <row r="190" spans="1:7">
      <c r="A190" s="3265" t="s">
        <v>304</v>
      </c>
      <c r="B190" s="3251" t="s">
        <v>2853</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2889</v>
      </c>
      <c r="C199" s="3256">
        <v>0.13</v>
      </c>
      <c r="D199" s="3256">
        <v>0.13</v>
      </c>
      <c r="E199" s="3256">
        <v>0.13</v>
      </c>
      <c r="F199" s="3256">
        <v>0.13</v>
      </c>
      <c r="G199" s="3257">
        <v>0.13</v>
      </c>
    </row>
    <row r="200" spans="1:7">
      <c r="A200" s="3266" t="s">
        <v>304</v>
      </c>
      <c r="B200" s="3255" t="s">
        <v>2892</v>
      </c>
      <c r="C200" s="3272"/>
      <c r="D200" s="3272"/>
      <c r="E200" s="3272"/>
      <c r="F200" s="3256">
        <v>0.13</v>
      </c>
      <c r="G200" s="3268"/>
    </row>
    <row r="201" spans="1:7">
      <c r="A201" s="3266" t="s">
        <v>304</v>
      </c>
      <c r="B201" s="3255" t="s">
        <v>2897</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2900</v>
      </c>
      <c r="C203" s="3256">
        <v>0.129</v>
      </c>
      <c r="D203" s="3256">
        <v>0.129</v>
      </c>
      <c r="E203" s="3256">
        <v>0.13</v>
      </c>
      <c r="F203" s="3256">
        <v>0.13</v>
      </c>
      <c r="G203" s="3257">
        <v>0.13</v>
      </c>
    </row>
    <row r="204" spans="1:7">
      <c r="A204" s="3266" t="s">
        <v>304</v>
      </c>
      <c r="B204" s="3255" t="s">
        <v>2903</v>
      </c>
      <c r="C204" s="3256">
        <v>0.129</v>
      </c>
      <c r="D204" s="3256">
        <v>0.129</v>
      </c>
      <c r="E204" s="3256">
        <v>0.123</v>
      </c>
      <c r="F204" s="3256">
        <v>0.13</v>
      </c>
      <c r="G204" s="3257">
        <v>0.13</v>
      </c>
    </row>
    <row r="205" spans="1:7">
      <c r="A205" s="3266" t="s">
        <v>304</v>
      </c>
      <c r="B205" s="3255" t="s">
        <v>2905</v>
      </c>
      <c r="C205" s="3256">
        <v>0.13</v>
      </c>
      <c r="D205" s="3256">
        <v>0.13</v>
      </c>
      <c r="E205" s="3256">
        <v>0.13</v>
      </c>
      <c r="F205" s="3256">
        <v>0.13</v>
      </c>
      <c r="G205" s="3257">
        <v>0.13</v>
      </c>
    </row>
    <row r="206" spans="1:7">
      <c r="A206" s="3266" t="s">
        <v>304</v>
      </c>
      <c r="B206" s="3255" t="s">
        <v>2908</v>
      </c>
      <c r="C206" s="3256">
        <v>0.13</v>
      </c>
      <c r="D206" s="3256">
        <v>0.13</v>
      </c>
      <c r="E206" s="3256">
        <v>0.13</v>
      </c>
      <c r="F206" s="3256">
        <v>0.128</v>
      </c>
      <c r="G206" s="3257">
        <v>0.13</v>
      </c>
    </row>
    <row r="207" spans="1:7">
      <c r="A207" s="3266" t="s">
        <v>304</v>
      </c>
      <c r="B207" s="3255" t="s">
        <v>2910</v>
      </c>
      <c r="C207" s="3256">
        <v>0.13</v>
      </c>
      <c r="D207" s="3256">
        <v>0.13</v>
      </c>
      <c r="E207" s="3256">
        <v>0.13</v>
      </c>
      <c r="F207" s="3256">
        <v>0.13</v>
      </c>
      <c r="G207" s="3257">
        <v>0.13</v>
      </c>
    </row>
    <row r="208" spans="1:7">
      <c r="A208" s="3266" t="s">
        <v>304</v>
      </c>
      <c r="B208" s="3255" t="s">
        <v>2913</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2920</v>
      </c>
      <c r="C210" s="3256">
        <v>0.121</v>
      </c>
      <c r="D210" s="3256">
        <v>0.121</v>
      </c>
      <c r="E210" s="3256">
        <v>0.125</v>
      </c>
      <c r="F210" s="3256">
        <v>0.13</v>
      </c>
      <c r="G210" s="3257">
        <v>0.123</v>
      </c>
    </row>
    <row r="211" spans="1:7">
      <c r="A211" s="3266" t="s">
        <v>304</v>
      </c>
      <c r="B211" s="3255" t="s">
        <v>2923</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2935</v>
      </c>
      <c r="C214" s="3256">
        <v>0.128</v>
      </c>
      <c r="D214" s="3256">
        <v>0.128</v>
      </c>
      <c r="E214" s="3256">
        <v>0.13</v>
      </c>
      <c r="F214" s="3256">
        <v>0.13</v>
      </c>
      <c r="G214" s="3257">
        <v>0.13</v>
      </c>
    </row>
    <row r="215" spans="1:7">
      <c r="A215" s="3266" t="s">
        <v>304</v>
      </c>
      <c r="B215" s="3255" t="s">
        <v>2939</v>
      </c>
      <c r="C215" s="3256">
        <v>0.13</v>
      </c>
      <c r="D215" s="3256">
        <v>0.13</v>
      </c>
      <c r="E215" s="3256">
        <v>0.13</v>
      </c>
      <c r="F215" s="3256">
        <v>0.129</v>
      </c>
      <c r="G215" s="3257">
        <v>0.13</v>
      </c>
    </row>
    <row r="216" spans="1:7">
      <c r="A216" s="3266" t="s">
        <v>304</v>
      </c>
      <c r="B216" s="3255" t="s">
        <v>2946</v>
      </c>
      <c r="C216" s="3256">
        <v>0.13</v>
      </c>
      <c r="D216" s="3256">
        <v>0.13</v>
      </c>
      <c r="E216" s="3256">
        <v>0.13</v>
      </c>
      <c r="F216" s="3256">
        <v>0.13</v>
      </c>
      <c r="G216" s="3257">
        <v>0.13</v>
      </c>
    </row>
    <row r="217" spans="1:7">
      <c r="A217" s="3266" t="s">
        <v>304</v>
      </c>
      <c r="B217" s="3255" t="s">
        <v>2953</v>
      </c>
      <c r="C217" s="3256">
        <v>0.129</v>
      </c>
      <c r="D217" s="3256">
        <v>0.129</v>
      </c>
      <c r="E217" s="3256">
        <v>0.13</v>
      </c>
      <c r="F217" s="3256">
        <v>0.13</v>
      </c>
      <c r="G217" s="3257">
        <v>0.13</v>
      </c>
    </row>
    <row r="218" spans="1:7">
      <c r="A218" s="3266" t="s">
        <v>304</v>
      </c>
      <c r="B218" s="3255" t="s">
        <v>2959</v>
      </c>
      <c r="C218" s="3267"/>
      <c r="D218" s="3267"/>
      <c r="E218" s="3267"/>
      <c r="F218" s="3256">
        <v>0.05</v>
      </c>
      <c r="G218" s="3273"/>
    </row>
    <row r="219" spans="1:7">
      <c r="A219" s="3266" t="s">
        <v>304</v>
      </c>
      <c r="B219" s="3255" t="s">
        <v>2966</v>
      </c>
      <c r="C219" s="3267"/>
      <c r="D219" s="3267"/>
      <c r="E219" s="3267"/>
      <c r="F219" s="3256">
        <v>0.05</v>
      </c>
      <c r="G219" s="3273"/>
    </row>
    <row r="220" spans="1:7">
      <c r="A220" s="3266" t="s">
        <v>304</v>
      </c>
      <c r="B220" s="3255" t="s">
        <v>2972</v>
      </c>
      <c r="C220" s="3267"/>
      <c r="D220" s="3267"/>
      <c r="E220" s="3267"/>
      <c r="F220" s="3256">
        <v>0.05</v>
      </c>
      <c r="G220" s="3273"/>
    </row>
    <row r="221" spans="1:7">
      <c r="A221" s="3266" t="s">
        <v>304</v>
      </c>
      <c r="B221" s="3255" t="s">
        <v>2977</v>
      </c>
      <c r="C221" s="3267"/>
      <c r="D221" s="3267"/>
      <c r="E221" s="3267"/>
      <c r="F221" s="3256">
        <v>0.05</v>
      </c>
      <c r="G221" s="3273"/>
    </row>
    <row r="222" spans="1:7">
      <c r="A222" s="3266" t="s">
        <v>304</v>
      </c>
      <c r="B222" s="3255" t="s">
        <v>2981</v>
      </c>
      <c r="C222" s="3267"/>
      <c r="D222" s="3267"/>
      <c r="E222" s="3267"/>
      <c r="F222" s="3256">
        <v>0.05</v>
      </c>
      <c r="G222" s="3273"/>
    </row>
    <row r="223" spans="1:7">
      <c r="A223" s="3266" t="s">
        <v>304</v>
      </c>
      <c r="B223" s="3255" t="s">
        <v>2986</v>
      </c>
      <c r="C223" s="3267"/>
      <c r="D223" s="3267"/>
      <c r="E223" s="3267"/>
      <c r="F223" s="3256">
        <v>0.05</v>
      </c>
      <c r="G223" s="3273"/>
    </row>
    <row r="224" spans="1:7">
      <c r="A224" s="3266" t="s">
        <v>304</v>
      </c>
      <c r="B224" s="3255" t="s">
        <v>2991</v>
      </c>
      <c r="C224" s="3267"/>
      <c r="D224" s="3267"/>
      <c r="E224" s="3267"/>
      <c r="F224" s="3256">
        <v>0.05</v>
      </c>
      <c r="G224" s="3273"/>
    </row>
    <row r="225" spans="1:7">
      <c r="A225" s="3266" t="s">
        <v>304</v>
      </c>
      <c r="B225" s="3255" t="s">
        <v>2996</v>
      </c>
      <c r="C225" s="3267"/>
      <c r="D225" s="3267"/>
      <c r="E225" s="3267"/>
      <c r="F225" s="3256">
        <v>0.05</v>
      </c>
      <c r="G225" s="3273"/>
    </row>
    <row r="226" spans="1:7">
      <c r="A226" s="3266" t="s">
        <v>304</v>
      </c>
      <c r="B226" s="3255" t="s">
        <v>3198</v>
      </c>
      <c r="C226" s="3267"/>
      <c r="D226" s="3267"/>
      <c r="E226" s="3267"/>
      <c r="F226" s="3256">
        <v>0.05</v>
      </c>
      <c r="G226" s="3273"/>
    </row>
    <row r="227" spans="1:7">
      <c r="A227" s="3266" t="s">
        <v>304</v>
      </c>
      <c r="B227" s="3255" t="s">
        <v>3199</v>
      </c>
      <c r="C227" s="3267"/>
      <c r="D227" s="3267"/>
      <c r="E227" s="3267"/>
      <c r="F227" s="3256">
        <v>0.05</v>
      </c>
      <c r="G227" s="3273"/>
    </row>
    <row r="228" spans="1:7">
      <c r="A228" s="3266" t="s">
        <v>304</v>
      </c>
      <c r="B228" s="3255" t="s">
        <v>3200</v>
      </c>
      <c r="C228" s="3267"/>
      <c r="D228" s="3267"/>
      <c r="E228" s="3267"/>
      <c r="F228" s="3256">
        <v>0.05</v>
      </c>
      <c r="G228" s="3273"/>
    </row>
    <row r="229" spans="1:7">
      <c r="A229" s="3266" t="s">
        <v>304</v>
      </c>
      <c r="B229" s="3255" t="s">
        <v>3201</v>
      </c>
      <c r="C229" s="3267"/>
      <c r="D229" s="3267"/>
      <c r="E229" s="3267"/>
      <c r="F229" s="3256">
        <v>0.05</v>
      </c>
      <c r="G229" s="3273"/>
    </row>
    <row r="230" spans="1:7">
      <c r="A230" s="3266" t="s">
        <v>304</v>
      </c>
      <c r="B230" s="3255" t="s">
        <v>3202</v>
      </c>
      <c r="C230" s="3267"/>
      <c r="D230" s="3267"/>
      <c r="E230" s="3267"/>
      <c r="F230" s="3256">
        <v>0.05</v>
      </c>
      <c r="G230" s="3273"/>
    </row>
    <row r="231" spans="1:7">
      <c r="A231" s="3266" t="s">
        <v>304</v>
      </c>
      <c r="B231" s="3255" t="s">
        <v>3203</v>
      </c>
      <c r="C231" s="3267"/>
      <c r="D231" s="3267"/>
      <c r="E231" s="3267"/>
      <c r="F231" s="3256">
        <v>0.05</v>
      </c>
      <c r="G231" s="3273"/>
    </row>
    <row r="232" spans="1:7">
      <c r="A232" s="3266" t="s">
        <v>304</v>
      </c>
      <c r="B232" s="3255" t="s">
        <v>3204</v>
      </c>
      <c r="C232" s="3267"/>
      <c r="D232" s="3267"/>
      <c r="E232" s="3267"/>
      <c r="F232" s="3256">
        <v>0.05</v>
      </c>
      <c r="G232" s="3273"/>
    </row>
    <row r="233" spans="1:7" ht="14.25" thickBot="1">
      <c r="A233" s="3269" t="s">
        <v>304</v>
      </c>
      <c r="B233" s="3259" t="s">
        <v>3205</v>
      </c>
      <c r="C233" s="3261"/>
      <c r="D233" s="3261"/>
      <c r="E233" s="3261"/>
      <c r="F233" s="3260">
        <v>0.05</v>
      </c>
      <c r="G233" s="3274"/>
    </row>
    <row r="234" spans="1:7">
      <c r="A234" s="3265" t="s">
        <v>305</v>
      </c>
      <c r="B234" s="3251" t="s">
        <v>2854</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2874</v>
      </c>
      <c r="C238" s="3256">
        <v>0.14899999999999999</v>
      </c>
      <c r="D238" s="3256">
        <v>0.14899999999999999</v>
      </c>
      <c r="E238" s="3256">
        <v>0.15</v>
      </c>
      <c r="F238" s="3256">
        <v>0.15</v>
      </c>
      <c r="G238" s="3257">
        <v>0.15</v>
      </c>
    </row>
    <row r="239" spans="1:7">
      <c r="A239" s="3266" t="s">
        <v>305</v>
      </c>
      <c r="B239" s="3255" t="s">
        <v>2878</v>
      </c>
      <c r="C239" s="3256">
        <v>0.15</v>
      </c>
      <c r="D239" s="3256">
        <v>0.15</v>
      </c>
      <c r="E239" s="3256">
        <v>0.15</v>
      </c>
      <c r="F239" s="3256">
        <v>0.15</v>
      </c>
      <c r="G239" s="3257">
        <v>0.15</v>
      </c>
    </row>
    <row r="240" spans="1:7">
      <c r="A240" s="3266" t="s">
        <v>305</v>
      </c>
      <c r="B240" s="3255" t="s">
        <v>2883</v>
      </c>
      <c r="C240" s="3256">
        <v>0.15</v>
      </c>
      <c r="D240" s="3256">
        <v>0.15</v>
      </c>
      <c r="E240" s="3256">
        <v>0.15</v>
      </c>
      <c r="F240" s="3256">
        <v>0.15</v>
      </c>
      <c r="G240" s="3257">
        <v>0.15</v>
      </c>
    </row>
    <row r="241" spans="1:7">
      <c r="A241" s="3266" t="s">
        <v>305</v>
      </c>
      <c r="B241" s="3255" t="s">
        <v>2887</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2893</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2901</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2906</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2914</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2927</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2936</v>
      </c>
      <c r="C258" s="3256">
        <v>0.14299999999999999</v>
      </c>
      <c r="D258" s="3256">
        <v>0.14299999999999999</v>
      </c>
      <c r="E258" s="3256">
        <v>0.15</v>
      </c>
      <c r="F258" s="3256">
        <v>0.14799999999999999</v>
      </c>
      <c r="G258" s="3257">
        <v>0.14599999999999999</v>
      </c>
    </row>
    <row r="259" spans="1:7">
      <c r="A259" s="3266" t="s">
        <v>305</v>
      </c>
      <c r="B259" s="3255" t="s">
        <v>2940</v>
      </c>
      <c r="C259" s="3256">
        <v>0.14399999999999999</v>
      </c>
      <c r="D259" s="3256">
        <v>0.14399999999999999</v>
      </c>
      <c r="E259" s="3256">
        <v>0.14899999999999999</v>
      </c>
      <c r="F259" s="3256">
        <v>0.14699999999999999</v>
      </c>
      <c r="G259" s="3257">
        <v>0.14599999999999999</v>
      </c>
    </row>
    <row r="260" spans="1:7">
      <c r="A260" s="3266" t="s">
        <v>305</v>
      </c>
      <c r="B260" s="3255" t="s">
        <v>2947</v>
      </c>
      <c r="C260" s="3256">
        <v>0.109</v>
      </c>
      <c r="D260" s="3256">
        <v>0.111</v>
      </c>
      <c r="E260" s="3256">
        <v>0.13100000000000001</v>
      </c>
      <c r="F260" s="3256">
        <v>0.126</v>
      </c>
      <c r="G260" s="3257">
        <v>0.11899999999999999</v>
      </c>
    </row>
    <row r="261" spans="1:7">
      <c r="A261" s="3266" t="s">
        <v>305</v>
      </c>
      <c r="B261" s="3255" t="s">
        <v>2954</v>
      </c>
      <c r="C261" s="3256">
        <v>0.1</v>
      </c>
      <c r="D261" s="3256">
        <v>0.1</v>
      </c>
      <c r="E261" s="3256">
        <v>0.11799999999999999</v>
      </c>
      <c r="F261" s="3256">
        <v>0.108</v>
      </c>
      <c r="G261" s="3257">
        <v>0.107</v>
      </c>
    </row>
    <row r="262" spans="1:7">
      <c r="A262" s="3266" t="s">
        <v>305</v>
      </c>
      <c r="B262" s="3255" t="s">
        <v>2960</v>
      </c>
      <c r="C262" s="3256">
        <v>0.1</v>
      </c>
      <c r="D262" s="3256">
        <v>0.1</v>
      </c>
      <c r="E262" s="3256">
        <v>0.1</v>
      </c>
      <c r="F262" s="3256">
        <v>0.14099999999999999</v>
      </c>
      <c r="G262" s="3257">
        <v>0.1</v>
      </c>
    </row>
    <row r="263" spans="1:7">
      <c r="A263" s="3266" t="s">
        <v>305</v>
      </c>
      <c r="B263" s="3255" t="s">
        <v>2967</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2978</v>
      </c>
      <c r="C265" s="3267"/>
      <c r="D265" s="3267"/>
      <c r="E265" s="3267"/>
      <c r="F265" s="3256">
        <v>0.05</v>
      </c>
      <c r="G265" s="3273"/>
    </row>
    <row r="266" spans="1:7">
      <c r="A266" s="3266" t="s">
        <v>305</v>
      </c>
      <c r="B266" s="3255" t="s">
        <v>2982</v>
      </c>
      <c r="C266" s="3267"/>
      <c r="D266" s="3267"/>
      <c r="E266" s="3267"/>
      <c r="F266" s="3256">
        <v>0.05</v>
      </c>
      <c r="G266" s="3273"/>
    </row>
    <row r="267" spans="1:7">
      <c r="A267" s="3266" t="s">
        <v>305</v>
      </c>
      <c r="B267" s="3255" t="s">
        <v>2987</v>
      </c>
      <c r="C267" s="3267"/>
      <c r="D267" s="3267"/>
      <c r="E267" s="3267"/>
      <c r="F267" s="3256">
        <v>0.05</v>
      </c>
      <c r="G267" s="3273"/>
    </row>
    <row r="268" spans="1:7">
      <c r="A268" s="3266" t="s">
        <v>305</v>
      </c>
      <c r="B268" s="3255" t="s">
        <v>2992</v>
      </c>
      <c r="C268" s="3267"/>
      <c r="D268" s="3267"/>
      <c r="E268" s="3267"/>
      <c r="F268" s="3256">
        <v>0.05</v>
      </c>
      <c r="G268" s="3273"/>
    </row>
    <row r="269" spans="1:7">
      <c r="A269" s="3266" t="s">
        <v>305</v>
      </c>
      <c r="B269" s="3255" t="s">
        <v>2997</v>
      </c>
      <c r="C269" s="3267"/>
      <c r="D269" s="3267"/>
      <c r="E269" s="3267"/>
      <c r="F269" s="3256">
        <v>0.05</v>
      </c>
      <c r="G269" s="3273"/>
    </row>
    <row r="270" spans="1:7">
      <c r="A270" s="3266" t="s">
        <v>305</v>
      </c>
      <c r="B270" s="3255" t="s">
        <v>3002</v>
      </c>
      <c r="C270" s="3267"/>
      <c r="D270" s="3267"/>
      <c r="E270" s="3267"/>
      <c r="F270" s="3256">
        <v>0.05</v>
      </c>
      <c r="G270" s="3273"/>
    </row>
    <row r="271" spans="1:7">
      <c r="A271" s="3266" t="s">
        <v>305</v>
      </c>
      <c r="B271" s="3255" t="s">
        <v>3206</v>
      </c>
      <c r="C271" s="3267"/>
      <c r="D271" s="3267"/>
      <c r="E271" s="3267"/>
      <c r="F271" s="3256">
        <v>0.05</v>
      </c>
      <c r="G271" s="3273"/>
    </row>
    <row r="272" spans="1:7">
      <c r="A272" s="3266" t="s">
        <v>305</v>
      </c>
      <c r="B272" s="3255" t="s">
        <v>3207</v>
      </c>
      <c r="C272" s="3267"/>
      <c r="D272" s="3267"/>
      <c r="E272" s="3267"/>
      <c r="F272" s="3256">
        <v>0.05</v>
      </c>
      <c r="G272" s="3273"/>
    </row>
    <row r="273" spans="1:7">
      <c r="A273" s="3266" t="s">
        <v>305</v>
      </c>
      <c r="B273" s="3255" t="s">
        <v>3208</v>
      </c>
      <c r="C273" s="3267"/>
      <c r="D273" s="3267"/>
      <c r="E273" s="3267"/>
      <c r="F273" s="3256">
        <v>0.05</v>
      </c>
      <c r="G273" s="3273"/>
    </row>
    <row r="274" spans="1:7">
      <c r="A274" s="3266" t="s">
        <v>305</v>
      </c>
      <c r="B274" s="3255" t="s">
        <v>3209</v>
      </c>
      <c r="C274" s="3267"/>
      <c r="D274" s="3267"/>
      <c r="E274" s="3267"/>
      <c r="F274" s="3256">
        <v>0.05</v>
      </c>
      <c r="G274" s="3273"/>
    </row>
    <row r="275" spans="1:7">
      <c r="A275" s="3266" t="s">
        <v>305</v>
      </c>
      <c r="B275" s="3255" t="s">
        <v>3210</v>
      </c>
      <c r="C275" s="3267"/>
      <c r="D275" s="3267"/>
      <c r="E275" s="3267"/>
      <c r="F275" s="3256">
        <v>0.05</v>
      </c>
      <c r="G275" s="3273"/>
    </row>
    <row r="276" spans="1:7" ht="14.25" thickBot="1">
      <c r="A276" s="3269" t="s">
        <v>305</v>
      </c>
      <c r="B276" s="3259" t="s">
        <v>3211</v>
      </c>
      <c r="C276" s="3261"/>
      <c r="D276" s="3261"/>
      <c r="E276" s="3261"/>
      <c r="F276" s="3260">
        <v>0.05</v>
      </c>
      <c r="G276" s="3274"/>
    </row>
    <row r="277" spans="1:7">
      <c r="A277" s="3265" t="s">
        <v>306</v>
      </c>
      <c r="B277" s="3251" t="s">
        <v>2855</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2867</v>
      </c>
      <c r="C279" s="3256">
        <v>0.15</v>
      </c>
      <c r="D279" s="3256">
        <v>0.15</v>
      </c>
      <c r="E279" s="3256">
        <v>0.15</v>
      </c>
      <c r="F279" s="3256">
        <v>0.15</v>
      </c>
      <c r="G279" s="3257">
        <v>0.15</v>
      </c>
    </row>
    <row r="280" spans="1:7">
      <c r="A280" s="3266" t="s">
        <v>306</v>
      </c>
      <c r="B280" s="3255" t="s">
        <v>2871</v>
      </c>
      <c r="C280" s="3256">
        <v>0.15</v>
      </c>
      <c r="D280" s="3256">
        <v>0.15</v>
      </c>
      <c r="E280" s="3256">
        <v>0.15</v>
      </c>
      <c r="F280" s="3256">
        <v>0.15</v>
      </c>
      <c r="G280" s="3257">
        <v>0.15</v>
      </c>
    </row>
    <row r="281" spans="1:7">
      <c r="A281" s="3266" t="s">
        <v>306</v>
      </c>
      <c r="B281" s="3255" t="s">
        <v>2875</v>
      </c>
      <c r="C281" s="3256">
        <v>0.15</v>
      </c>
      <c r="D281" s="3256">
        <v>0.15</v>
      </c>
      <c r="E281" s="3256">
        <v>0.15</v>
      </c>
      <c r="F281" s="3256">
        <v>0.15</v>
      </c>
      <c r="G281" s="3257">
        <v>0.15</v>
      </c>
    </row>
    <row r="282" spans="1:7">
      <c r="A282" s="3266" t="s">
        <v>306</v>
      </c>
      <c r="B282" s="3255" t="s">
        <v>2879</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2894</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2899</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2909</v>
      </c>
      <c r="C293" s="3256">
        <v>0.15</v>
      </c>
      <c r="D293" s="3256">
        <v>0.15</v>
      </c>
      <c r="E293" s="3256">
        <v>0.15</v>
      </c>
      <c r="F293" s="3256">
        <v>0.14499999999999999</v>
      </c>
      <c r="G293" s="3257">
        <v>0.15</v>
      </c>
    </row>
    <row r="294" spans="1:7">
      <c r="A294" s="3266" t="s">
        <v>306</v>
      </c>
      <c r="B294" s="3255" t="s">
        <v>2911</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2928</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2941</v>
      </c>
      <c r="C302" s="3256">
        <v>0.15</v>
      </c>
      <c r="D302" s="3256">
        <v>0.15</v>
      </c>
      <c r="E302" s="3256">
        <v>0.15</v>
      </c>
      <c r="F302" s="3256">
        <v>0.14699999999999999</v>
      </c>
      <c r="G302" s="3257">
        <v>0.15</v>
      </c>
    </row>
    <row r="303" spans="1:7">
      <c r="A303" s="3266" t="s">
        <v>306</v>
      </c>
      <c r="B303" s="3255" t="s">
        <v>2948</v>
      </c>
      <c r="C303" s="3256">
        <v>0.15</v>
      </c>
      <c r="D303" s="3256">
        <v>0.15</v>
      </c>
      <c r="E303" s="3256">
        <v>0.15</v>
      </c>
      <c r="F303" s="3256">
        <v>0.14199999999999999</v>
      </c>
      <c r="G303" s="3257">
        <v>0.15</v>
      </c>
    </row>
    <row r="304" spans="1:7">
      <c r="A304" s="3266" t="s">
        <v>306</v>
      </c>
      <c r="B304" s="3255" t="s">
        <v>2955</v>
      </c>
      <c r="C304" s="3256">
        <v>0.15</v>
      </c>
      <c r="D304" s="3256">
        <v>0.15</v>
      </c>
      <c r="E304" s="3256">
        <v>0.15</v>
      </c>
      <c r="F304" s="3256">
        <v>0.14499999999999999</v>
      </c>
      <c r="G304" s="3257">
        <v>0.15</v>
      </c>
    </row>
    <row r="305" spans="1:7">
      <c r="A305" s="3266" t="s">
        <v>306</v>
      </c>
      <c r="B305" s="3255" t="s">
        <v>2961</v>
      </c>
      <c r="C305" s="3256">
        <v>0.15</v>
      </c>
      <c r="D305" s="3256">
        <v>0.15</v>
      </c>
      <c r="E305" s="3256">
        <v>0.15</v>
      </c>
      <c r="F305" s="3256">
        <v>0.111</v>
      </c>
      <c r="G305" s="3257">
        <v>0.15</v>
      </c>
    </row>
    <row r="306" spans="1:7">
      <c r="A306" s="3266" t="s">
        <v>306</v>
      </c>
      <c r="B306" s="3255" t="s">
        <v>2968</v>
      </c>
      <c r="C306" s="3256">
        <v>0.15</v>
      </c>
      <c r="D306" s="3256">
        <v>0.15</v>
      </c>
      <c r="E306" s="3256">
        <v>0.15</v>
      </c>
      <c r="F306" s="3256">
        <v>0.126</v>
      </c>
      <c r="G306" s="3257">
        <v>0.15</v>
      </c>
    </row>
    <row r="307" spans="1:7">
      <c r="A307" s="3266" t="s">
        <v>306</v>
      </c>
      <c r="B307" s="3255" t="s">
        <v>2973</v>
      </c>
      <c r="C307" s="3256">
        <v>0.15</v>
      </c>
      <c r="D307" s="3256">
        <v>0.15</v>
      </c>
      <c r="E307" s="3256">
        <v>0.15</v>
      </c>
      <c r="F307" s="3256">
        <v>0.12</v>
      </c>
      <c r="G307" s="3257">
        <v>0.15</v>
      </c>
    </row>
    <row r="308" spans="1:7">
      <c r="A308" s="3266" t="s">
        <v>306</v>
      </c>
      <c r="B308" s="3255" t="s">
        <v>2979</v>
      </c>
      <c r="C308" s="3256">
        <v>0.15</v>
      </c>
      <c r="D308" s="3256">
        <v>0.15</v>
      </c>
      <c r="E308" s="3256">
        <v>0.15</v>
      </c>
      <c r="F308" s="3256">
        <v>0.13</v>
      </c>
      <c r="G308" s="3257">
        <v>0.15</v>
      </c>
    </row>
    <row r="309" spans="1:7">
      <c r="A309" s="3266" t="s">
        <v>306</v>
      </c>
      <c r="B309" s="3255" t="s">
        <v>2983</v>
      </c>
      <c r="C309" s="3256">
        <v>0.15</v>
      </c>
      <c r="D309" s="3256">
        <v>0.15</v>
      </c>
      <c r="E309" s="3256">
        <v>0.15</v>
      </c>
      <c r="F309" s="3256">
        <v>0.14099999999999999</v>
      </c>
      <c r="G309" s="3257">
        <v>0.15</v>
      </c>
    </row>
    <row r="310" spans="1:7">
      <c r="A310" s="3266" t="s">
        <v>306</v>
      </c>
      <c r="B310" s="3255" t="s">
        <v>2988</v>
      </c>
      <c r="C310" s="3256">
        <v>0.15</v>
      </c>
      <c r="D310" s="3256">
        <v>0.15</v>
      </c>
      <c r="E310" s="3256">
        <v>0.15</v>
      </c>
      <c r="F310" s="3256">
        <v>0.15</v>
      </c>
      <c r="G310" s="3257">
        <v>0.15</v>
      </c>
    </row>
    <row r="311" spans="1:7">
      <c r="A311" s="3266" t="s">
        <v>306</v>
      </c>
      <c r="B311" s="3255" t="s">
        <v>2993</v>
      </c>
      <c r="C311" s="3256">
        <v>0.13200000000000001</v>
      </c>
      <c r="D311" s="3256">
        <v>0.13300000000000001</v>
      </c>
      <c r="E311" s="3256">
        <v>0.14499999999999999</v>
      </c>
      <c r="F311" s="3256">
        <v>0.14199999999999999</v>
      </c>
      <c r="G311" s="3257">
        <v>0.14000000000000001</v>
      </c>
    </row>
    <row r="312" spans="1:7">
      <c r="A312" s="3266" t="s">
        <v>306</v>
      </c>
      <c r="B312" s="3255" t="s">
        <v>2998</v>
      </c>
      <c r="C312" s="3256">
        <v>0.13800000000000001</v>
      </c>
      <c r="D312" s="3256">
        <v>0.14000000000000001</v>
      </c>
      <c r="E312" s="3256">
        <v>0.14599999999999999</v>
      </c>
      <c r="F312" s="3256">
        <v>0.14899999999999999</v>
      </c>
      <c r="G312" s="3257">
        <v>0.14199999999999999</v>
      </c>
    </row>
    <row r="313" spans="1:7">
      <c r="A313" s="3266" t="s">
        <v>306</v>
      </c>
      <c r="B313" s="3255" t="s">
        <v>3003</v>
      </c>
      <c r="C313" s="3256">
        <v>0.125</v>
      </c>
      <c r="D313" s="3256">
        <v>0.127</v>
      </c>
      <c r="E313" s="3256">
        <v>0.14399999999999999</v>
      </c>
      <c r="F313" s="3256">
        <v>0.115</v>
      </c>
      <c r="G313" s="3257">
        <v>0.13600000000000001</v>
      </c>
    </row>
    <row r="314" spans="1:7">
      <c r="A314" s="3266" t="s">
        <v>306</v>
      </c>
      <c r="B314" s="3255" t="s">
        <v>3212</v>
      </c>
      <c r="C314" s="3272"/>
      <c r="D314" s="3272"/>
      <c r="E314" s="3272"/>
      <c r="F314" s="3256">
        <v>0.05</v>
      </c>
      <c r="G314" s="3273"/>
    </row>
    <row r="315" spans="1:7">
      <c r="A315" s="3266" t="s">
        <v>306</v>
      </c>
      <c r="B315" s="3255" t="s">
        <v>3213</v>
      </c>
      <c r="C315" s="3272"/>
      <c r="D315" s="3272"/>
      <c r="E315" s="3272"/>
      <c r="F315" s="3256">
        <v>0.05</v>
      </c>
      <c r="G315" s="3273"/>
    </row>
    <row r="316" spans="1:7">
      <c r="A316" s="3266" t="s">
        <v>306</v>
      </c>
      <c r="B316" s="3255" t="s">
        <v>3214</v>
      </c>
      <c r="C316" s="3267"/>
      <c r="D316" s="3267"/>
      <c r="E316" s="3267"/>
      <c r="F316" s="3256">
        <v>0.05</v>
      </c>
      <c r="G316" s="3273"/>
    </row>
    <row r="317" spans="1:7">
      <c r="A317" s="3266" t="s">
        <v>306</v>
      </c>
      <c r="B317" s="3255" t="s">
        <v>3215</v>
      </c>
      <c r="C317" s="3267"/>
      <c r="D317" s="3267"/>
      <c r="E317" s="3267"/>
      <c r="F317" s="3256">
        <v>0.05</v>
      </c>
      <c r="G317" s="3273"/>
    </row>
    <row r="318" spans="1:7">
      <c r="A318" s="3266" t="s">
        <v>306</v>
      </c>
      <c r="B318" s="3255" t="s">
        <v>3216</v>
      </c>
      <c r="C318" s="3267"/>
      <c r="D318" s="3267"/>
      <c r="E318" s="3267"/>
      <c r="F318" s="3256">
        <v>0.05</v>
      </c>
      <c r="G318" s="3273"/>
    </row>
    <row r="319" spans="1:7">
      <c r="A319" s="3266" t="s">
        <v>306</v>
      </c>
      <c r="B319" s="3255" t="s">
        <v>3217</v>
      </c>
      <c r="C319" s="3267"/>
      <c r="D319" s="3267"/>
      <c r="E319" s="3267"/>
      <c r="F319" s="3256">
        <v>0.05</v>
      </c>
      <c r="G319" s="3273"/>
    </row>
    <row r="320" spans="1:7">
      <c r="A320" s="3266" t="s">
        <v>306</v>
      </c>
      <c r="B320" s="3255" t="s">
        <v>3218</v>
      </c>
      <c r="C320" s="3267"/>
      <c r="D320" s="3267"/>
      <c r="E320" s="3267"/>
      <c r="F320" s="3256">
        <v>0.05</v>
      </c>
      <c r="G320" s="3273"/>
    </row>
    <row r="321" spans="1:7">
      <c r="A321" s="3266" t="s">
        <v>306</v>
      </c>
      <c r="B321" s="3255" t="s">
        <v>3219</v>
      </c>
      <c r="C321" s="3267"/>
      <c r="D321" s="3267"/>
      <c r="E321" s="3267"/>
      <c r="F321" s="3256">
        <v>0.05</v>
      </c>
      <c r="G321" s="3273"/>
    </row>
    <row r="322" spans="1:7">
      <c r="A322" s="3266" t="s">
        <v>306</v>
      </c>
      <c r="B322" s="3255" t="s">
        <v>3220</v>
      </c>
      <c r="C322" s="3267"/>
      <c r="D322" s="3267"/>
      <c r="E322" s="3267"/>
      <c r="F322" s="3256">
        <v>0.05</v>
      </c>
      <c r="G322" s="3273"/>
    </row>
    <row r="323" spans="1:7">
      <c r="A323" s="3266" t="s">
        <v>306</v>
      </c>
      <c r="B323" s="3255" t="s">
        <v>3221</v>
      </c>
      <c r="C323" s="3267"/>
      <c r="D323" s="3267"/>
      <c r="E323" s="3267"/>
      <c r="F323" s="3256">
        <v>0.05</v>
      </c>
      <c r="G323" s="3273"/>
    </row>
    <row r="324" spans="1:7">
      <c r="A324" s="3266" t="s">
        <v>306</v>
      </c>
      <c r="B324" s="3255" t="s">
        <v>3222</v>
      </c>
      <c r="C324" s="3267"/>
      <c r="D324" s="3267"/>
      <c r="E324" s="3267"/>
      <c r="F324" s="3256">
        <v>0.05</v>
      </c>
      <c r="G324" s="3273"/>
    </row>
    <row r="325" spans="1:7">
      <c r="A325" s="3266" t="s">
        <v>306</v>
      </c>
      <c r="B325" s="3255" t="s">
        <v>3223</v>
      </c>
      <c r="C325" s="3267"/>
      <c r="D325" s="3267"/>
      <c r="E325" s="3267"/>
      <c r="F325" s="3256">
        <v>0.05</v>
      </c>
      <c r="G325" s="3273"/>
    </row>
    <row r="326" spans="1:7" ht="14.25" thickBot="1">
      <c r="A326" s="3269" t="s">
        <v>306</v>
      </c>
      <c r="B326" s="3259" t="s">
        <v>3224</v>
      </c>
      <c r="C326" s="3261"/>
      <c r="D326" s="3261"/>
      <c r="E326" s="3261"/>
      <c r="F326" s="3260">
        <v>0.05</v>
      </c>
      <c r="G326" s="3274"/>
    </row>
    <row r="327" spans="1:7">
      <c r="A327" s="3265" t="s">
        <v>307</v>
      </c>
      <c r="B327" s="3251" t="s">
        <v>2856</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2868</v>
      </c>
      <c r="C329" s="3256">
        <v>0.15</v>
      </c>
      <c r="D329" s="3256">
        <v>0.15</v>
      </c>
      <c r="E329" s="3256">
        <v>0.15</v>
      </c>
      <c r="F329" s="3256">
        <v>0.15</v>
      </c>
      <c r="G329" s="3257">
        <v>0.15</v>
      </c>
    </row>
    <row r="330" spans="1:7">
      <c r="A330" s="3266" t="s">
        <v>307</v>
      </c>
      <c r="B330" s="3255" t="s">
        <v>2872</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2880</v>
      </c>
      <c r="C332" s="3256">
        <v>0.15</v>
      </c>
      <c r="D332" s="3256">
        <v>0.15</v>
      </c>
      <c r="E332" s="3256">
        <v>0.15</v>
      </c>
      <c r="F332" s="3256">
        <v>0.15</v>
      </c>
      <c r="G332" s="3257">
        <v>0.15</v>
      </c>
    </row>
    <row r="333" spans="1:7">
      <c r="A333" s="3266" t="s">
        <v>307</v>
      </c>
      <c r="B333" s="3255" t="s">
        <v>2884</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2890</v>
      </c>
      <c r="C336" s="3256">
        <v>0.15</v>
      </c>
      <c r="D336" s="3256">
        <v>0.15</v>
      </c>
      <c r="E336" s="3256">
        <v>0.15</v>
      </c>
      <c r="F336" s="3256">
        <v>0.14199999999999999</v>
      </c>
      <c r="G336" s="3257">
        <v>0.15</v>
      </c>
    </row>
    <row r="337" spans="1:7">
      <c r="A337" s="3266" t="s">
        <v>307</v>
      </c>
      <c r="B337" s="3255" t="s">
        <v>2895</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2902</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2907</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2915</v>
      </c>
      <c r="C345" s="3256">
        <v>0.15</v>
      </c>
      <c r="D345" s="3256">
        <v>0.15</v>
      </c>
      <c r="E345" s="3256">
        <v>0.15</v>
      </c>
      <c r="F345" s="3256">
        <v>0.13800000000000001</v>
      </c>
      <c r="G345" s="3257">
        <v>0.15</v>
      </c>
    </row>
    <row r="346" spans="1:7">
      <c r="A346" s="3266" t="s">
        <v>307</v>
      </c>
      <c r="B346" s="3255" t="s">
        <v>2917</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2924</v>
      </c>
      <c r="C348" s="3256">
        <v>0.15</v>
      </c>
      <c r="D348" s="3256">
        <v>0.15</v>
      </c>
      <c r="E348" s="3256">
        <v>0.15</v>
      </c>
      <c r="F348" s="3256">
        <v>0.14399999999999999</v>
      </c>
      <c r="G348" s="3257">
        <v>0.15</v>
      </c>
    </row>
    <row r="349" spans="1:7">
      <c r="A349" s="3266" t="s">
        <v>307</v>
      </c>
      <c r="B349" s="3255" t="s">
        <v>2929</v>
      </c>
      <c r="C349" s="3256">
        <v>0.15</v>
      </c>
      <c r="D349" s="3256">
        <v>0.15</v>
      </c>
      <c r="E349" s="3256">
        <v>0.15</v>
      </c>
      <c r="F349" s="3256">
        <v>0.15</v>
      </c>
      <c r="G349" s="3257">
        <v>0.15</v>
      </c>
    </row>
    <row r="350" spans="1:7">
      <c r="A350" s="3266" t="s">
        <v>307</v>
      </c>
      <c r="B350" s="3255" t="s">
        <v>2932</v>
      </c>
      <c r="C350" s="3256">
        <v>0.15</v>
      </c>
      <c r="D350" s="3256">
        <v>0.15</v>
      </c>
      <c r="E350" s="3256">
        <v>0.15</v>
      </c>
      <c r="F350" s="3256">
        <v>0.14699999999999999</v>
      </c>
      <c r="G350" s="3257">
        <v>0.15</v>
      </c>
    </row>
    <row r="351" spans="1:7">
      <c r="A351" s="3266" t="s">
        <v>307</v>
      </c>
      <c r="B351" s="3255" t="s">
        <v>2937</v>
      </c>
      <c r="C351" s="3256">
        <v>0.15</v>
      </c>
      <c r="D351" s="3256">
        <v>0.15</v>
      </c>
      <c r="E351" s="3256">
        <v>0.15</v>
      </c>
      <c r="F351" s="3256">
        <v>0.13</v>
      </c>
      <c r="G351" s="3257">
        <v>0.15</v>
      </c>
    </row>
    <row r="352" spans="1:7">
      <c r="A352" s="3266" t="s">
        <v>307</v>
      </c>
      <c r="B352" s="3255" t="s">
        <v>2942</v>
      </c>
      <c r="C352" s="3256">
        <v>0.15</v>
      </c>
      <c r="D352" s="3256">
        <v>0.15</v>
      </c>
      <c r="E352" s="3256">
        <v>0.15</v>
      </c>
      <c r="F352" s="3256">
        <v>0.14599999999999999</v>
      </c>
      <c r="G352" s="3257">
        <v>0.15</v>
      </c>
    </row>
    <row r="353" spans="1:7">
      <c r="A353" s="3266" t="s">
        <v>307</v>
      </c>
      <c r="B353" s="3255" t="s">
        <v>2949</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2962</v>
      </c>
      <c r="C355" s="3256">
        <v>0.15</v>
      </c>
      <c r="D355" s="3256">
        <v>0.15</v>
      </c>
      <c r="E355" s="3256">
        <v>0.15</v>
      </c>
      <c r="F355" s="3256">
        <v>0.15</v>
      </c>
      <c r="G355" s="3257">
        <v>0.15</v>
      </c>
    </row>
    <row r="356" spans="1:7">
      <c r="A356" s="3266" t="s">
        <v>307</v>
      </c>
      <c r="B356" s="3255" t="s">
        <v>2969</v>
      </c>
      <c r="C356" s="3256">
        <v>0.15</v>
      </c>
      <c r="D356" s="3256">
        <v>0.15</v>
      </c>
      <c r="E356" s="3256">
        <v>0.15</v>
      </c>
      <c r="F356" s="3256">
        <v>0.15</v>
      </c>
      <c r="G356" s="3257">
        <v>0.15</v>
      </c>
    </row>
    <row r="357" spans="1:7" ht="14.25" thickBot="1">
      <c r="A357" s="3269" t="s">
        <v>307</v>
      </c>
      <c r="B357" s="3259" t="s">
        <v>2974</v>
      </c>
      <c r="C357" s="3260">
        <v>0.126</v>
      </c>
      <c r="D357" s="3260">
        <v>0.127</v>
      </c>
      <c r="E357" s="3260">
        <v>0.14299999999999999</v>
      </c>
      <c r="F357" s="3260">
        <v>0.125</v>
      </c>
      <c r="G357" s="3262">
        <v>0.129</v>
      </c>
    </row>
    <row r="358" spans="1:7">
      <c r="A358" s="3265" t="s">
        <v>2843</v>
      </c>
      <c r="B358" s="3251" t="s">
        <v>2857</v>
      </c>
      <c r="C358" s="3252">
        <v>0.15</v>
      </c>
      <c r="D358" s="3252">
        <v>0.15</v>
      </c>
      <c r="E358" s="3252">
        <v>0.15</v>
      </c>
      <c r="F358" s="3252">
        <v>0.15</v>
      </c>
      <c r="G358" s="3253">
        <v>0.15</v>
      </c>
    </row>
    <row r="359" spans="1:7">
      <c r="A359" s="3266" t="s">
        <v>2843</v>
      </c>
      <c r="B359" s="3255" t="s">
        <v>2863</v>
      </c>
      <c r="C359" s="3256">
        <v>0.1</v>
      </c>
      <c r="D359" s="3256">
        <v>0.1</v>
      </c>
      <c r="E359" s="3256">
        <v>0.1</v>
      </c>
      <c r="F359" s="3256">
        <v>0.1</v>
      </c>
      <c r="G359" s="3257">
        <v>0.1</v>
      </c>
    </row>
    <row r="360" spans="1:7">
      <c r="A360" s="3266" t="s">
        <v>2843</v>
      </c>
      <c r="B360" s="3255" t="s">
        <v>2869</v>
      </c>
      <c r="C360" s="3256">
        <v>0.15</v>
      </c>
      <c r="D360" s="3256">
        <v>0.15</v>
      </c>
      <c r="E360" s="3256">
        <v>0.15</v>
      </c>
      <c r="F360" s="3256">
        <v>0.14899999999999999</v>
      </c>
      <c r="G360" s="3257">
        <v>0.15</v>
      </c>
    </row>
    <row r="361" spans="1:7">
      <c r="A361" s="3266" t="s">
        <v>2843</v>
      </c>
      <c r="B361" s="3255" t="s">
        <v>153</v>
      </c>
      <c r="C361" s="3256">
        <v>0.15</v>
      </c>
      <c r="D361" s="3256">
        <v>0.15</v>
      </c>
      <c r="E361" s="3256">
        <v>0.15</v>
      </c>
      <c r="F361" s="3256">
        <v>0.115</v>
      </c>
      <c r="G361" s="3257">
        <v>0.15</v>
      </c>
    </row>
    <row r="362" spans="1:7">
      <c r="A362" s="3266" t="s">
        <v>2843</v>
      </c>
      <c r="B362" s="3255" t="s">
        <v>2876</v>
      </c>
      <c r="C362" s="3256">
        <v>0.15</v>
      </c>
      <c r="D362" s="3256">
        <v>0.15</v>
      </c>
      <c r="E362" s="3256">
        <v>0.15</v>
      </c>
      <c r="F362" s="3256">
        <v>0.106</v>
      </c>
      <c r="G362" s="3257">
        <v>0.15</v>
      </c>
    </row>
    <row r="363" spans="1:7">
      <c r="A363" s="3266" t="s">
        <v>2843</v>
      </c>
      <c r="B363" s="3255" t="s">
        <v>2881</v>
      </c>
      <c r="C363" s="3256">
        <v>0.15</v>
      </c>
      <c r="D363" s="3256">
        <v>0.15</v>
      </c>
      <c r="E363" s="3256">
        <v>0.15</v>
      </c>
      <c r="F363" s="3256">
        <v>0.14699999999999999</v>
      </c>
      <c r="G363" s="3257">
        <v>0.15</v>
      </c>
    </row>
    <row r="364" spans="1:7">
      <c r="A364" s="3266" t="s">
        <v>2843</v>
      </c>
      <c r="B364" s="3255" t="s">
        <v>2885</v>
      </c>
      <c r="C364" s="3256">
        <v>0.15</v>
      </c>
      <c r="D364" s="3256">
        <v>0.15</v>
      </c>
      <c r="E364" s="3256">
        <v>0.15</v>
      </c>
      <c r="F364" s="3256">
        <v>0.14799999999999999</v>
      </c>
      <c r="G364" s="3257">
        <v>0.15</v>
      </c>
    </row>
    <row r="365" spans="1:7">
      <c r="A365" s="3266" t="s">
        <v>2843</v>
      </c>
      <c r="B365" s="3255" t="s">
        <v>200</v>
      </c>
      <c r="C365" s="3256">
        <v>0.15</v>
      </c>
      <c r="D365" s="3256">
        <v>0.15</v>
      </c>
      <c r="E365" s="3256">
        <v>0.15</v>
      </c>
      <c r="F365" s="3256">
        <v>0.15</v>
      </c>
      <c r="G365" s="3257">
        <v>0.15</v>
      </c>
    </row>
    <row r="366" spans="1:7">
      <c r="A366" s="3266" t="s">
        <v>2843</v>
      </c>
      <c r="B366" s="3255" t="s">
        <v>2888</v>
      </c>
      <c r="C366" s="3256">
        <v>0.15</v>
      </c>
      <c r="D366" s="3256">
        <v>0.15</v>
      </c>
      <c r="E366" s="3256">
        <v>0.15</v>
      </c>
      <c r="F366" s="3256">
        <v>0.15</v>
      </c>
      <c r="G366" s="3257">
        <v>0.15</v>
      </c>
    </row>
    <row r="367" spans="1:7">
      <c r="A367" s="3266" t="s">
        <v>2843</v>
      </c>
      <c r="B367" s="3255" t="s">
        <v>2891</v>
      </c>
      <c r="C367" s="3256">
        <v>0.15</v>
      </c>
      <c r="D367" s="3256">
        <v>0.15</v>
      </c>
      <c r="E367" s="3256">
        <v>0.15</v>
      </c>
      <c r="F367" s="3256">
        <v>0.14699999999999999</v>
      </c>
      <c r="G367" s="3257">
        <v>0.15</v>
      </c>
    </row>
    <row r="368" spans="1:7">
      <c r="A368" s="3266" t="s">
        <v>2843</v>
      </c>
      <c r="B368" s="3255" t="s">
        <v>2896</v>
      </c>
      <c r="C368" s="3256">
        <v>0.15</v>
      </c>
      <c r="D368" s="3256">
        <v>0.15</v>
      </c>
      <c r="E368" s="3256">
        <v>0.15</v>
      </c>
      <c r="F368" s="3256">
        <v>0.13600000000000001</v>
      </c>
      <c r="G368" s="3257">
        <v>0.15</v>
      </c>
    </row>
    <row r="369" spans="1:7">
      <c r="A369" s="3266" t="s">
        <v>2843</v>
      </c>
      <c r="B369" s="3255" t="s">
        <v>214</v>
      </c>
      <c r="C369" s="3256">
        <v>0.15</v>
      </c>
      <c r="D369" s="3256">
        <v>0.15</v>
      </c>
      <c r="E369" s="3256">
        <v>0.15</v>
      </c>
      <c r="F369" s="3256">
        <v>0.14399999999999999</v>
      </c>
      <c r="G369" s="3257">
        <v>0.15</v>
      </c>
    </row>
    <row r="370" spans="1:7">
      <c r="A370" s="3266" t="s">
        <v>2843</v>
      </c>
      <c r="B370" s="3255" t="s">
        <v>221</v>
      </c>
      <c r="C370" s="3256">
        <v>0.15</v>
      </c>
      <c r="D370" s="3256">
        <v>0.15</v>
      </c>
      <c r="E370" s="3256">
        <v>0.15</v>
      </c>
      <c r="F370" s="3256">
        <v>0.14599999999999999</v>
      </c>
      <c r="G370" s="3257">
        <v>0.15</v>
      </c>
    </row>
    <row r="371" spans="1:7">
      <c r="A371" s="3266" t="s">
        <v>2843</v>
      </c>
      <c r="B371" s="3255" t="s">
        <v>229</v>
      </c>
      <c r="C371" s="3256">
        <v>0.15</v>
      </c>
      <c r="D371" s="3256">
        <v>0.15</v>
      </c>
      <c r="E371" s="3256">
        <v>0.15</v>
      </c>
      <c r="F371" s="3256">
        <v>0.12</v>
      </c>
      <c r="G371" s="3257">
        <v>0.15</v>
      </c>
    </row>
    <row r="372" spans="1:7">
      <c r="A372" s="3266" t="s">
        <v>2843</v>
      </c>
      <c r="B372" s="3255" t="s">
        <v>2904</v>
      </c>
      <c r="C372" s="3256">
        <v>0.15</v>
      </c>
      <c r="D372" s="3256">
        <v>0.15</v>
      </c>
      <c r="E372" s="3256">
        <v>0.15</v>
      </c>
      <c r="F372" s="3256">
        <v>0.14299999999999999</v>
      </c>
      <c r="G372" s="3257">
        <v>0.15</v>
      </c>
    </row>
    <row r="373" spans="1:7">
      <c r="A373" s="3266" t="s">
        <v>2843</v>
      </c>
      <c r="B373" s="3255" t="s">
        <v>258</v>
      </c>
      <c r="C373" s="3256">
        <v>0.15</v>
      </c>
      <c r="D373" s="3256">
        <v>0.15</v>
      </c>
      <c r="E373" s="3256">
        <v>0.15</v>
      </c>
      <c r="F373" s="3256">
        <v>0.14599999999999999</v>
      </c>
      <c r="G373" s="3257">
        <v>0.15</v>
      </c>
    </row>
    <row r="374" spans="1:7">
      <c r="A374" s="3266" t="s">
        <v>2843</v>
      </c>
      <c r="B374" s="3255" t="s">
        <v>266</v>
      </c>
      <c r="C374" s="3256">
        <v>0.15</v>
      </c>
      <c r="D374" s="3256">
        <v>0.15</v>
      </c>
      <c r="E374" s="3256">
        <v>0.15</v>
      </c>
      <c r="F374" s="3256">
        <v>0.14399999999999999</v>
      </c>
      <c r="G374" s="3257">
        <v>0.15</v>
      </c>
    </row>
    <row r="375" spans="1:7">
      <c r="A375" s="3266" t="s">
        <v>2843</v>
      </c>
      <c r="B375" s="3255" t="s">
        <v>2912</v>
      </c>
      <c r="C375" s="3256">
        <v>0.15</v>
      </c>
      <c r="D375" s="3256">
        <v>0.15</v>
      </c>
      <c r="E375" s="3256">
        <v>0.15</v>
      </c>
      <c r="F375" s="3256">
        <v>0.13</v>
      </c>
      <c r="G375" s="3257">
        <v>0.15</v>
      </c>
    </row>
    <row r="376" spans="1:7">
      <c r="A376" s="3266" t="s">
        <v>2843</v>
      </c>
      <c r="B376" s="3255" t="s">
        <v>277</v>
      </c>
      <c r="C376" s="3256">
        <v>0.15</v>
      </c>
      <c r="D376" s="3256">
        <v>0.15</v>
      </c>
      <c r="E376" s="3256">
        <v>0.15</v>
      </c>
      <c r="F376" s="3256">
        <v>0.14199999999999999</v>
      </c>
      <c r="G376" s="3257">
        <v>0.15</v>
      </c>
    </row>
    <row r="377" spans="1:7" ht="14.25" thickBot="1">
      <c r="A377" s="3269" t="s">
        <v>2843</v>
      </c>
      <c r="B377" s="3259" t="s">
        <v>2918</v>
      </c>
      <c r="C377" s="3260">
        <v>0.15</v>
      </c>
      <c r="D377" s="3260">
        <v>0.15</v>
      </c>
      <c r="E377" s="3260">
        <v>0.15</v>
      </c>
      <c r="F377" s="3260">
        <v>0.14000000000000001</v>
      </c>
      <c r="G377" s="3262">
        <v>0.15</v>
      </c>
    </row>
    <row r="378" spans="1:7">
      <c r="A378" s="3265" t="s">
        <v>2844</v>
      </c>
      <c r="B378" s="3251" t="s">
        <v>2858</v>
      </c>
      <c r="C378" s="3252">
        <v>0.15</v>
      </c>
      <c r="D378" s="3252">
        <v>0.15</v>
      </c>
      <c r="E378" s="3252">
        <v>0.15</v>
      </c>
      <c r="F378" s="3252">
        <v>0.107</v>
      </c>
      <c r="G378" s="3253">
        <v>0.15</v>
      </c>
    </row>
    <row r="379" spans="1:7">
      <c r="A379" s="3266" t="s">
        <v>2844</v>
      </c>
      <c r="B379" s="3255" t="s">
        <v>2864</v>
      </c>
      <c r="C379" s="3256">
        <v>0.15</v>
      </c>
      <c r="D379" s="3256">
        <v>0.15</v>
      </c>
      <c r="E379" s="3256">
        <v>0.15</v>
      </c>
      <c r="F379" s="3256">
        <v>0.115</v>
      </c>
      <c r="G379" s="3257">
        <v>0.14899999999999999</v>
      </c>
    </row>
    <row r="380" spans="1:7">
      <c r="A380" s="3266" t="s">
        <v>2844</v>
      </c>
      <c r="B380" s="3255" t="s">
        <v>2870</v>
      </c>
      <c r="C380" s="3256">
        <v>0.15</v>
      </c>
      <c r="D380" s="3256">
        <v>0.15</v>
      </c>
      <c r="E380" s="3256">
        <v>0.15</v>
      </c>
      <c r="F380" s="3256">
        <v>0.1</v>
      </c>
      <c r="G380" s="3257">
        <v>0.14799999999999999</v>
      </c>
    </row>
    <row r="381" spans="1:7">
      <c r="A381" s="3266" t="s">
        <v>2844</v>
      </c>
      <c r="B381" s="3255" t="s">
        <v>2873</v>
      </c>
      <c r="C381" s="3256">
        <v>0.15</v>
      </c>
      <c r="D381" s="3256">
        <v>0.15</v>
      </c>
      <c r="E381" s="3256">
        <v>0.15</v>
      </c>
      <c r="F381" s="3256">
        <v>0.126</v>
      </c>
      <c r="G381" s="3257">
        <v>0.15</v>
      </c>
    </row>
    <row r="382" spans="1:7">
      <c r="A382" s="3266" t="s">
        <v>2844</v>
      </c>
      <c r="B382" s="3255" t="s">
        <v>2877</v>
      </c>
      <c r="C382" s="3256">
        <v>0.15</v>
      </c>
      <c r="D382" s="3256">
        <v>0.15</v>
      </c>
      <c r="E382" s="3256">
        <v>0.15</v>
      </c>
      <c r="F382" s="3256">
        <v>0.15</v>
      </c>
      <c r="G382" s="3257">
        <v>0.15</v>
      </c>
    </row>
    <row r="383" spans="1:7">
      <c r="A383" s="3266" t="s">
        <v>2844</v>
      </c>
      <c r="B383" s="3255" t="s">
        <v>2882</v>
      </c>
      <c r="C383" s="3256">
        <v>0.15</v>
      </c>
      <c r="D383" s="3256">
        <v>0.15</v>
      </c>
      <c r="E383" s="3256">
        <v>0.15</v>
      </c>
      <c r="F383" s="3256">
        <v>0.14699999999999999</v>
      </c>
      <c r="G383" s="3257">
        <v>0.15</v>
      </c>
    </row>
    <row r="384" spans="1:7" ht="14.25" thickBot="1">
      <c r="A384" s="3276" t="s">
        <v>2844</v>
      </c>
      <c r="B384" s="3277" t="s">
        <v>2886</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798" t="s">
        <v>3225</v>
      </c>
      <c r="B1" s="3798"/>
      <c r="C1" s="3798"/>
      <c r="D1" s="3798"/>
      <c r="E1" s="3798"/>
      <c r="F1" s="3799"/>
    </row>
    <row r="2" spans="1:6">
      <c r="A2" s="3282" t="s">
        <v>3226</v>
      </c>
      <c r="B2" s="3283"/>
      <c r="C2" s="3283"/>
      <c r="D2" s="3283"/>
      <c r="E2" s="3283"/>
      <c r="F2" s="3283"/>
    </row>
    <row r="3" spans="1:6">
      <c r="A3" s="3282" t="s">
        <v>3227</v>
      </c>
      <c r="B3" s="3283"/>
      <c r="C3" s="3283"/>
      <c r="D3" s="3283"/>
      <c r="E3" s="3283"/>
      <c r="F3" s="3284" t="s">
        <v>3228</v>
      </c>
    </row>
    <row r="4" spans="1:6">
      <c r="A4" s="3285" t="s">
        <v>672</v>
      </c>
      <c r="B4" s="3285" t="s">
        <v>673</v>
      </c>
      <c r="C4" s="3285" t="s">
        <v>21</v>
      </c>
      <c r="D4" s="3285" t="s">
        <v>674</v>
      </c>
      <c r="E4" s="3285" t="s">
        <v>3</v>
      </c>
      <c r="F4" s="3285" t="s">
        <v>3229</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3212">
        <f>基准地价修正!G23</f>
        <v>45576</v>
      </c>
      <c r="B1" s="3201" t="s">
        <v>3363</v>
      </c>
      <c r="C1" s="3202"/>
      <c r="D1" s="3202"/>
      <c r="E1" s="3202"/>
      <c r="F1" s="3202"/>
      <c r="G1" s="3202"/>
      <c r="H1" s="3202"/>
      <c r="I1" s="3202"/>
      <c r="J1" s="3156"/>
      <c r="K1" s="3202" t="s">
        <v>454</v>
      </c>
      <c r="L1" s="3202"/>
      <c r="M1" s="3202"/>
      <c r="N1" s="3202"/>
      <c r="O1" s="3202"/>
      <c r="P1" s="3202"/>
      <c r="Q1" s="3156"/>
      <c r="R1" s="3800" t="s">
        <v>456</v>
      </c>
      <c r="S1" s="3801"/>
      <c r="T1" s="3801"/>
      <c r="U1" s="3801"/>
      <c r="V1" s="3801"/>
      <c r="W1" s="3801"/>
      <c r="X1" s="3156"/>
      <c r="Y1" s="3800" t="s">
        <v>457</v>
      </c>
      <c r="Z1" s="3801"/>
      <c r="AA1" s="3801"/>
      <c r="AB1" s="3801"/>
      <c r="AC1" s="3801"/>
      <c r="AD1" s="3801"/>
    </row>
    <row r="2" spans="1:30" s="3134" customFormat="1" ht="14.25" thickBot="1">
      <c r="B2" s="3135"/>
      <c r="C2" s="3136"/>
      <c r="D2" s="3137" t="s">
        <v>2803</v>
      </c>
      <c r="E2" s="3138" t="s">
        <v>2804</v>
      </c>
      <c r="F2" s="3138" t="s">
        <v>2805</v>
      </c>
      <c r="G2" s="3138" t="s">
        <v>2806</v>
      </c>
      <c r="H2" s="3138" t="s">
        <v>2807</v>
      </c>
      <c r="I2" s="3138" t="s">
        <v>2624</v>
      </c>
      <c r="J2" s="3139"/>
      <c r="K2" s="3137" t="s">
        <v>2803</v>
      </c>
      <c r="L2" s="3138" t="s">
        <v>2804</v>
      </c>
      <c r="M2" s="3138" t="s">
        <v>2805</v>
      </c>
      <c r="N2" s="3138" t="s">
        <v>2806</v>
      </c>
      <c r="O2" s="3138" t="s">
        <v>2808</v>
      </c>
      <c r="P2" s="3138" t="s">
        <v>2624</v>
      </c>
      <c r="Q2" s="3139"/>
      <c r="R2" s="3137" t="s">
        <v>2803</v>
      </c>
      <c r="S2" s="3138" t="s">
        <v>2804</v>
      </c>
      <c r="T2" s="3138" t="s">
        <v>2805</v>
      </c>
      <c r="U2" s="3138" t="s">
        <v>2809</v>
      </c>
      <c r="V2" s="3138" t="s">
        <v>2810</v>
      </c>
      <c r="W2" s="3138" t="s">
        <v>2624</v>
      </c>
      <c r="X2" s="3139"/>
      <c r="Y2" s="3137" t="s">
        <v>2803</v>
      </c>
      <c r="Z2" s="3138" t="s">
        <v>2804</v>
      </c>
      <c r="AA2" s="3138" t="s">
        <v>2805</v>
      </c>
      <c r="AB2" s="3138" t="s">
        <v>2811</v>
      </c>
      <c r="AC2" s="3138" t="s">
        <v>2810</v>
      </c>
      <c r="AD2" s="3138" t="s">
        <v>2624</v>
      </c>
    </row>
    <row r="3" spans="1:30" s="3152" customFormat="1" ht="12.75">
      <c r="A3" s="3140" t="s">
        <v>2812</v>
      </c>
      <c r="B3" s="3141"/>
      <c r="C3" s="3142"/>
      <c r="D3" s="3142">
        <f>ROUND(AVERAGEIF(D4:D21,"&lt;&gt;0"),2)</f>
        <v>0.59</v>
      </c>
      <c r="E3" s="3142">
        <f t="shared" ref="E3:H3" si="0">ROUND(AVERAGEIF(E4:E21,"&lt;&gt;0"),2)</f>
        <v>0.36</v>
      </c>
      <c r="F3" s="3142">
        <f t="shared" si="0"/>
        <v>0.06</v>
      </c>
      <c r="G3" s="3142">
        <f t="shared" si="0"/>
        <v>0.6</v>
      </c>
      <c r="H3" s="3142">
        <f t="shared" si="0"/>
        <v>0.6</v>
      </c>
      <c r="I3" s="3142">
        <f>F3</f>
        <v>0.06</v>
      </c>
      <c r="J3" s="3143"/>
      <c r="K3" s="3144">
        <f>ROUND(AVERAGEIF(K4:K21,"&lt;&gt;0"),4)</f>
        <v>5.8999999999999999E-3</v>
      </c>
      <c r="L3" s="3145">
        <f t="shared" ref="L3:O3" si="1">ROUND(AVERAGEIF(L4:L21,"&lt;&gt;0"),4)</f>
        <v>3.5999999999999999E-3</v>
      </c>
      <c r="M3" s="3145">
        <f t="shared" si="1"/>
        <v>5.9999999999999995E-4</v>
      </c>
      <c r="N3" s="3145">
        <f t="shared" si="1"/>
        <v>6.0000000000000001E-3</v>
      </c>
      <c r="O3" s="3145">
        <f t="shared" si="1"/>
        <v>6.0000000000000001E-3</v>
      </c>
      <c r="P3" s="3145">
        <f>M3</f>
        <v>5.9999999999999995E-4</v>
      </c>
      <c r="Q3" s="3143"/>
      <c r="R3" s="3146">
        <f>ROUND(SUMPRODUCT(PRODUCT(1+K4:K21)),4)</f>
        <v>1.0852999999999999</v>
      </c>
      <c r="S3" s="3147">
        <f t="shared" ref="S3:V3" si="2">ROUND(SUMPRODUCT(PRODUCT(1+L4:L21)),4)</f>
        <v>1.0513999999999999</v>
      </c>
      <c r="T3" s="3147">
        <f t="shared" si="2"/>
        <v>1.0083</v>
      </c>
      <c r="U3" s="3147">
        <f t="shared" si="2"/>
        <v>1.0871999999999999</v>
      </c>
      <c r="V3" s="3147">
        <f t="shared" si="2"/>
        <v>1.0880000000000001</v>
      </c>
      <c r="W3" s="3146">
        <f>T3</f>
        <v>1.0083</v>
      </c>
      <c r="X3" s="3143"/>
      <c r="Y3" s="3148">
        <f>ROUND(AVERAGEIF(Y8:Y21,"&lt;&gt;0"),4)</f>
        <v>8.3999999999999995E-3</v>
      </c>
      <c r="Z3" s="3149">
        <f t="shared" ref="Z3:AC3" si="3">ROUND(AVERAGEIF(Z8:Z21,"&lt;&gt;0"),4)</f>
        <v>3.5000000000000001E-3</v>
      </c>
      <c r="AA3" s="3150">
        <f t="shared" si="3"/>
        <v>8.0000000000000004E-4</v>
      </c>
      <c r="AB3" s="3148">
        <f t="shared" si="3"/>
        <v>9.1000000000000004E-3</v>
      </c>
      <c r="AC3" s="3151">
        <f t="shared" si="3"/>
        <v>6.1000000000000004E-3</v>
      </c>
      <c r="AD3" s="3148">
        <f>AA3</f>
        <v>8.0000000000000004E-4</v>
      </c>
    </row>
    <row r="4" spans="1:30" s="3153" customFormat="1" ht="12.75">
      <c r="B4" s="3154"/>
      <c r="C4" s="3155"/>
      <c r="D4" s="3155"/>
      <c r="E4" s="3155"/>
      <c r="F4" s="3155"/>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2199" t="s">
        <v>3374</v>
      </c>
      <c r="B5" s="3168">
        <v>2025</v>
      </c>
      <c r="C5" s="3169">
        <v>1</v>
      </c>
      <c r="D5" s="3170">
        <v>0</v>
      </c>
      <c r="E5" s="3170">
        <v>0</v>
      </c>
      <c r="F5" s="3170">
        <v>0</v>
      </c>
      <c r="G5" s="3170">
        <v>0</v>
      </c>
      <c r="H5" s="3170">
        <v>0</v>
      </c>
      <c r="I5" s="3171">
        <f t="shared" ref="I5" si="4">F5</f>
        <v>0</v>
      </c>
      <c r="J5" s="3172"/>
      <c r="K5" s="3173">
        <f t="shared" ref="K5" si="5">D5/100</f>
        <v>0</v>
      </c>
      <c r="L5" s="3163">
        <f t="shared" ref="L5" si="6">E5/100</f>
        <v>0</v>
      </c>
      <c r="M5" s="3163">
        <f t="shared" ref="M5" si="7">F5/100</f>
        <v>0</v>
      </c>
      <c r="N5" s="3163">
        <f t="shared" ref="N5" si="8">G5/100</f>
        <v>0</v>
      </c>
      <c r="O5" s="3163">
        <f t="shared" ref="O5" si="9">H5/100</f>
        <v>0</v>
      </c>
      <c r="P5" s="3163">
        <f>M5</f>
        <v>0</v>
      </c>
      <c r="Q5" s="3172"/>
      <c r="R5" s="3174">
        <f>ROUND(IF(项目基本情况!$B$8="出让",SUMPRODUCT(PRODUCT(1+K5:$K$21)),SUMPRODUCT(PRODUCT(1+K5:$K$20))),4)</f>
        <v>1.0748</v>
      </c>
      <c r="S5" s="3174">
        <f>ROUND(IF(项目基本情况!$B$8="出让",SUMPRODUCT(PRODUCT(1+L5:$L$21)),SUMPRODUCT(PRODUCT(1+L5:$L$20))),4)</f>
        <v>1.0498000000000001</v>
      </c>
      <c r="T5" s="3174">
        <f>ROUND(IF(项目基本情况!$B$8="出让",SUMPRODUCT(PRODUCT(1+M5:$M$21)),SUMPRODUCT(PRODUCT(1+M5:$M$20))),4)</f>
        <v>1.0107999999999999</v>
      </c>
      <c r="U5" s="3174">
        <f>ROUND(IF(项目基本情况!$B$8="出让",SUMPRODUCT(PRODUCT(1+N5:$N$21)),SUMPRODUCT(PRODUCT(1+N5:$N$20))),4)</f>
        <v>1.0752999999999999</v>
      </c>
      <c r="V5" s="3174">
        <f>ROUND(IF(项目基本情况!$B$8="出让",SUMPRODUCT(PRODUCT(1+O5:$O$21)),SUMPRODUCT(PRODUCT(1+O5:$O$20))),4)</f>
        <v>1.0841000000000001</v>
      </c>
      <c r="W5" s="3174">
        <f>T5</f>
        <v>1.0107999999999999</v>
      </c>
      <c r="X5" s="3172"/>
      <c r="Y5" s="3175">
        <f>IF(D5=0,0,ROUND(AVERAGE(D5:D18)/100,4))</f>
        <v>0</v>
      </c>
      <c r="Z5" s="3175">
        <f t="shared" ref="Z5" si="10">IF(E5=0,0,ROUND(AVERAGE(E5:E18)/100,4))</f>
        <v>0</v>
      </c>
      <c r="AA5" s="3175">
        <f t="shared" ref="AA5" si="11">IF(F5=0,0,ROUND(AVERAGE(F5:F18)/100,4))</f>
        <v>0</v>
      </c>
      <c r="AB5" s="3175">
        <f t="shared" ref="AB5" si="12">IF(G5=0,0,ROUND(AVERAGE(G5:G18)/100,4))</f>
        <v>0</v>
      </c>
      <c r="AC5" s="3175">
        <f t="shared" ref="AC5" si="13">IF(H5=0,0,ROUND(AVERAGE(H5:H18)/100,4))</f>
        <v>0</v>
      </c>
      <c r="AD5" s="3175">
        <f t="shared" ref="AD5" si="14">AA5</f>
        <v>0</v>
      </c>
    </row>
    <row r="6" spans="1:30" s="3186" customFormat="1" ht="12.75">
      <c r="A6" s="3177" t="s">
        <v>3375</v>
      </c>
      <c r="B6" s="3178">
        <v>2024</v>
      </c>
      <c r="C6" s="3179">
        <v>4</v>
      </c>
      <c r="D6" s="3180">
        <v>0</v>
      </c>
      <c r="E6" s="3180">
        <v>0</v>
      </c>
      <c r="F6" s="3180">
        <v>0</v>
      </c>
      <c r="G6" s="3180">
        <v>0</v>
      </c>
      <c r="H6" s="3181">
        <v>0</v>
      </c>
      <c r="I6" s="3182">
        <f t="shared" ref="I6" si="15">F6</f>
        <v>0</v>
      </c>
      <c r="J6" s="3183"/>
      <c r="K6" s="3184">
        <f t="shared" ref="K6" si="16">D6/100</f>
        <v>0</v>
      </c>
      <c r="L6" s="3185">
        <f t="shared" ref="L6" si="17">E6/100</f>
        <v>0</v>
      </c>
      <c r="M6" s="3185">
        <f t="shared" ref="M6" si="18">F6/100</f>
        <v>0</v>
      </c>
      <c r="N6" s="3185">
        <f t="shared" ref="N6" si="19">G6/100</f>
        <v>0</v>
      </c>
      <c r="O6" s="3185">
        <f t="shared" ref="O6" si="20">H6/100</f>
        <v>0</v>
      </c>
      <c r="P6" s="3185">
        <f>M6</f>
        <v>0</v>
      </c>
      <c r="Q6" s="3183"/>
      <c r="R6" s="3183">
        <f>ROUND(IF(项目基本情况!$B$8="出让",SUMPRODUCT(PRODUCT(1+K6:$K$21)),SUMPRODUCT(PRODUCT(1+K6:$K$20))),4)</f>
        <v>1.0748</v>
      </c>
      <c r="S6" s="3183">
        <f>ROUND(IF(项目基本情况!$B$8="出让",SUMPRODUCT(PRODUCT(1+L6:$L$21)),SUMPRODUCT(PRODUCT(1+L6:$L$20))),4)</f>
        <v>1.0498000000000001</v>
      </c>
      <c r="T6" s="3183">
        <f>ROUND(IF(项目基本情况!$B$8="出让",SUMPRODUCT(PRODUCT(1+M6:$M$21)),SUMPRODUCT(PRODUCT(1+M6:$M$20))),4)</f>
        <v>1.0107999999999999</v>
      </c>
      <c r="U6" s="3183">
        <f>ROUND(IF(项目基本情况!$B$8="出让",SUMPRODUCT(PRODUCT(1+N6:$N$21)),SUMPRODUCT(PRODUCT(1+N6:$N$20))),4)</f>
        <v>1.0752999999999999</v>
      </c>
      <c r="V6" s="3183">
        <f>ROUND(IF(项目基本情况!$B$8="出让",SUMPRODUCT(PRODUCT(1+O6:$O$21)),SUMPRODUCT(PRODUCT(1+O6:$O$20))),4)</f>
        <v>1.0841000000000001</v>
      </c>
      <c r="W6" s="3183">
        <f>T6</f>
        <v>1.0107999999999999</v>
      </c>
      <c r="X6" s="3183"/>
      <c r="Y6" s="3185">
        <f>IF(D6=0,0,ROUND(AVERAGE(D6:D19)/100,4))</f>
        <v>0</v>
      </c>
      <c r="Z6" s="3185">
        <f t="shared" ref="Z6" si="21">IF(E6=0,0,ROUND(AVERAGE(E6:E19)/100,4))</f>
        <v>0</v>
      </c>
      <c r="AA6" s="3185">
        <f t="shared" ref="AA6" si="22">IF(F6=0,0,ROUND(AVERAGE(F6:F19)/100,4))</f>
        <v>0</v>
      </c>
      <c r="AB6" s="3185">
        <f t="shared" ref="AB6" si="23">IF(G6=0,0,ROUND(AVERAGE(G6:G19)/100,4))</f>
        <v>0</v>
      </c>
      <c r="AC6" s="3185">
        <f t="shared" ref="AC6" si="24">IF(H6=0,0,ROUND(AVERAGE(H6:H19)/100,4))</f>
        <v>0</v>
      </c>
      <c r="AD6" s="3185">
        <f t="shared" ref="AD6" si="25">AA6</f>
        <v>0</v>
      </c>
    </row>
    <row r="7" spans="1:30" s="3176" customFormat="1" ht="12.75">
      <c r="A7" s="2199" t="s">
        <v>3369</v>
      </c>
      <c r="B7" s="3168">
        <v>2024</v>
      </c>
      <c r="C7" s="3169">
        <v>3</v>
      </c>
      <c r="D7" s="3170">
        <v>0</v>
      </c>
      <c r="E7" s="3170">
        <v>0</v>
      </c>
      <c r="F7" s="3170">
        <v>0</v>
      </c>
      <c r="G7" s="3170">
        <v>0</v>
      </c>
      <c r="H7" s="3170">
        <v>0</v>
      </c>
      <c r="I7" s="3171">
        <f t="shared" ref="I7" si="26">F7</f>
        <v>0</v>
      </c>
      <c r="J7" s="3172"/>
      <c r="K7" s="3173">
        <f t="shared" ref="K7" si="27">D7/100</f>
        <v>0</v>
      </c>
      <c r="L7" s="3163">
        <f t="shared" ref="L7" si="28">E7/100</f>
        <v>0</v>
      </c>
      <c r="M7" s="3163">
        <f t="shared" ref="M7" si="29">F7/100</f>
        <v>0</v>
      </c>
      <c r="N7" s="3163">
        <f t="shared" ref="N7" si="30">G7/100</f>
        <v>0</v>
      </c>
      <c r="O7" s="3163">
        <f t="shared" ref="O7" si="31">H7/100</f>
        <v>0</v>
      </c>
      <c r="P7" s="3163">
        <f>M7</f>
        <v>0</v>
      </c>
      <c r="Q7" s="3172"/>
      <c r="R7" s="3174">
        <f>ROUND(IF(项目基本情况!$B$8="出让",SUMPRODUCT(PRODUCT(1+K7:$K$21)),SUMPRODUCT(PRODUCT(1+K7:$K$20))),4)</f>
        <v>1.0748</v>
      </c>
      <c r="S7" s="3174">
        <f>ROUND(IF(项目基本情况!$B$8="出让",SUMPRODUCT(PRODUCT(1+L7:$L$21)),SUMPRODUCT(PRODUCT(1+L7:$L$20))),4)</f>
        <v>1.0498000000000001</v>
      </c>
      <c r="T7" s="3174">
        <f>ROUND(IF(项目基本情况!$B$8="出让",SUMPRODUCT(PRODUCT(1+M7:$M$21)),SUMPRODUCT(PRODUCT(1+M7:$M$20))),4)</f>
        <v>1.0107999999999999</v>
      </c>
      <c r="U7" s="3174">
        <f>ROUND(IF(项目基本情况!$B$8="出让",SUMPRODUCT(PRODUCT(1+N7:$N$21)),SUMPRODUCT(PRODUCT(1+N7:$N$20))),4)</f>
        <v>1.0752999999999999</v>
      </c>
      <c r="V7" s="3174">
        <f>ROUND(IF(项目基本情况!$B$8="出让",SUMPRODUCT(PRODUCT(1+O7:$O$21)),SUMPRODUCT(PRODUCT(1+O7:$O$20))),4)</f>
        <v>1.0841000000000001</v>
      </c>
      <c r="W7" s="3174">
        <f>T7</f>
        <v>1.0107999999999999</v>
      </c>
      <c r="X7" s="3172"/>
      <c r="Y7" s="3175">
        <f>IF(D7=0,0,ROUND(AVERAGE(D7:D20)/100,4))</f>
        <v>0</v>
      </c>
      <c r="Z7" s="3175">
        <f t="shared" ref="Z7" si="32">IF(E7=0,0,ROUND(AVERAGE(E7:E20)/100,4))</f>
        <v>0</v>
      </c>
      <c r="AA7" s="3175">
        <f t="shared" ref="AA7" si="33">IF(F7=0,0,ROUND(AVERAGE(F7:F20)/100,4))</f>
        <v>0</v>
      </c>
      <c r="AB7" s="3175">
        <f t="shared" ref="AB7" si="34">IF(G7=0,0,ROUND(AVERAGE(G7:G20)/100,4))</f>
        <v>0</v>
      </c>
      <c r="AC7" s="3175">
        <f t="shared" ref="AC7" si="35">IF(H7=0,0,ROUND(AVERAGE(H7:H20)/100,4))</f>
        <v>0</v>
      </c>
      <c r="AD7" s="3175">
        <f t="shared" ref="AD7" si="36">AA7</f>
        <v>0</v>
      </c>
    </row>
    <row r="8" spans="1:30" s="3176" customFormat="1" ht="12.75">
      <c r="A8" s="3167" t="s">
        <v>3376</v>
      </c>
      <c r="B8" s="3168">
        <v>2024</v>
      </c>
      <c r="C8" s="3169">
        <v>2</v>
      </c>
      <c r="D8" s="3170">
        <v>-0.59</v>
      </c>
      <c r="E8" s="3170">
        <v>-0.21</v>
      </c>
      <c r="F8" s="3170">
        <v>-1.38</v>
      </c>
      <c r="G8" s="3170">
        <v>-1.24</v>
      </c>
      <c r="H8" s="3187">
        <v>0.34</v>
      </c>
      <c r="I8" s="3171">
        <f t="shared" ref="I8:I21" si="37">F8</f>
        <v>-1.38</v>
      </c>
      <c r="J8" s="3172"/>
      <c r="K8" s="3173">
        <f t="shared" ref="K8:O21" si="38">D8/100</f>
        <v>-5.8999999999999999E-3</v>
      </c>
      <c r="L8" s="3163">
        <f t="shared" si="38"/>
        <v>-2.0999999999999999E-3</v>
      </c>
      <c r="M8" s="3163">
        <f t="shared" si="38"/>
        <v>-1.38E-2</v>
      </c>
      <c r="N8" s="3163">
        <f t="shared" si="38"/>
        <v>-1.24E-2</v>
      </c>
      <c r="O8" s="3163">
        <f t="shared" si="38"/>
        <v>3.4000000000000002E-3</v>
      </c>
      <c r="P8" s="3163">
        <f>M8</f>
        <v>-1.38E-2</v>
      </c>
      <c r="Q8" s="3172"/>
      <c r="R8" s="3174">
        <f>ROUND(IF(项目基本情况!$B$8="出让",SUMPRODUCT(PRODUCT(1+K8:$K$21)),SUMPRODUCT(PRODUCT(1+K8:$K$20))),4)</f>
        <v>1.0748</v>
      </c>
      <c r="S8" s="3174">
        <f>ROUND(IF(项目基本情况!$B$8="出让",SUMPRODUCT(PRODUCT(1+L8:$L$21)),SUMPRODUCT(PRODUCT(1+L8:$L$20))),4)</f>
        <v>1.0498000000000001</v>
      </c>
      <c r="T8" s="3174">
        <f>ROUND(IF(项目基本情况!$B$8="出让",SUMPRODUCT(PRODUCT(1+M8:$M$21)),SUMPRODUCT(PRODUCT(1+M8:$M$20))),4)</f>
        <v>1.0107999999999999</v>
      </c>
      <c r="U8" s="3174">
        <f>ROUND(IF(项目基本情况!$B$8="出让",SUMPRODUCT(PRODUCT(1+N8:$N$21)),SUMPRODUCT(PRODUCT(1+N8:$N$20))),4)</f>
        <v>1.0752999999999999</v>
      </c>
      <c r="V8" s="3174">
        <f>ROUND(IF(项目基本情况!$B$8="出让",SUMPRODUCT(PRODUCT(1+O8:$O$21)),SUMPRODUCT(PRODUCT(1+O8:$O$20))),4)</f>
        <v>1.0841000000000001</v>
      </c>
      <c r="W8" s="3174">
        <f>T8</f>
        <v>1.0107999999999999</v>
      </c>
      <c r="X8" s="3172"/>
      <c r="Y8" s="3175">
        <f>IF(D8=0,0,ROUND(AVERAGE(D8:D21)/100,4))</f>
        <v>5.8999999999999999E-3</v>
      </c>
      <c r="Z8" s="3175">
        <f t="shared" ref="Z8:AC8" si="39">IF(E8=0,0,ROUND(AVERAGE(E8:E21)/100,4))</f>
        <v>3.5999999999999999E-3</v>
      </c>
      <c r="AA8" s="3175">
        <f t="shared" si="39"/>
        <v>5.9999999999999995E-4</v>
      </c>
      <c r="AB8" s="3175">
        <f t="shared" si="39"/>
        <v>6.0000000000000001E-3</v>
      </c>
      <c r="AC8" s="3175">
        <f t="shared" si="39"/>
        <v>6.0000000000000001E-3</v>
      </c>
      <c r="AD8" s="3175">
        <f t="shared" ref="AD8:AD20" si="40">AA8</f>
        <v>5.9999999999999995E-4</v>
      </c>
    </row>
    <row r="9" spans="1:30" s="3176" customFormat="1" ht="12.75">
      <c r="A9" s="3167" t="s">
        <v>3371</v>
      </c>
      <c r="B9" s="3168">
        <v>2024</v>
      </c>
      <c r="C9" s="3169">
        <v>1</v>
      </c>
      <c r="D9" s="3170">
        <v>0.08</v>
      </c>
      <c r="E9" s="3170">
        <v>0.46</v>
      </c>
      <c r="F9" s="3170">
        <v>-0.16</v>
      </c>
      <c r="G9" s="3170">
        <v>0.26</v>
      </c>
      <c r="H9" s="3187">
        <v>0.59</v>
      </c>
      <c r="I9" s="3171">
        <v>0</v>
      </c>
      <c r="J9" s="3172"/>
      <c r="K9" s="3173">
        <f t="shared" ref="K9" si="41">D9/100</f>
        <v>8.0000000000000004E-4</v>
      </c>
      <c r="L9" s="3163">
        <f t="shared" ref="L9" si="42">E9/100</f>
        <v>4.5999999999999999E-3</v>
      </c>
      <c r="M9" s="3163">
        <f t="shared" ref="M9" si="43">F9/100</f>
        <v>-1.6000000000000001E-3</v>
      </c>
      <c r="N9" s="3163">
        <f t="shared" ref="N9" si="44">G9/100</f>
        <v>2.5999999999999999E-3</v>
      </c>
      <c r="O9" s="3163">
        <f t="shared" ref="O9" si="45">H9/100</f>
        <v>5.8999999999999999E-3</v>
      </c>
      <c r="P9" s="3163">
        <f t="shared" ref="P9" si="46">M9</f>
        <v>-1.6000000000000001E-3</v>
      </c>
      <c r="Q9" s="3172"/>
      <c r="R9" s="3174">
        <f>ROUND(IF(项目基本情况!$B$8="出让",SUMPRODUCT(PRODUCT(1+K9:$K$21)),SUMPRODUCT(PRODUCT(1+K9:$K$20))),4)</f>
        <v>1.0811999999999999</v>
      </c>
      <c r="S9" s="3174">
        <f>ROUND(IF(项目基本情况!$B$8="出让",SUMPRODUCT(PRODUCT(1+L9:$L$21)),SUMPRODUCT(PRODUCT(1+L9:$L$20))),4)</f>
        <v>1.052</v>
      </c>
      <c r="T9" s="3174">
        <f>ROUND(IF(项目基本情况!$B$8="出让",SUMPRODUCT(PRODUCT(1+M9:$M$21)),SUMPRODUCT(PRODUCT(1+M9:$M$20))),4)</f>
        <v>1.0249999999999999</v>
      </c>
      <c r="U9" s="3174">
        <f>ROUND(IF(项目基本情况!$B$8="出让",SUMPRODUCT(PRODUCT(1+N9:$N$21)),SUMPRODUCT(PRODUCT(1+N9:$N$20))),4)</f>
        <v>1.0888</v>
      </c>
      <c r="V9" s="3174">
        <f>ROUND(IF(项目基本情况!$B$8="出让",SUMPRODUCT(PRODUCT(1+O9:$O$21)),SUMPRODUCT(PRODUCT(1+O9:$O$20))),4)</f>
        <v>1.0804</v>
      </c>
      <c r="W9" s="3174">
        <f t="shared" ref="W9" si="47">T9</f>
        <v>1.0249999999999999</v>
      </c>
      <c r="X9" s="3172"/>
      <c r="Y9" s="3175"/>
      <c r="Z9" s="3175"/>
      <c r="AA9" s="3175"/>
      <c r="AB9" s="3175"/>
      <c r="AC9" s="3175"/>
      <c r="AD9" s="3175"/>
    </row>
    <row r="10" spans="1:30" s="3176" customFormat="1" ht="12.75">
      <c r="A10" s="3167" t="s">
        <v>3367</v>
      </c>
      <c r="B10" s="3168">
        <v>2023</v>
      </c>
      <c r="C10" s="3169">
        <v>4</v>
      </c>
      <c r="D10" s="3170">
        <v>0.19</v>
      </c>
      <c r="E10" s="3170">
        <v>0.24</v>
      </c>
      <c r="F10" s="3170">
        <v>-0.16</v>
      </c>
      <c r="G10" s="3170">
        <v>0.17</v>
      </c>
      <c r="H10" s="3187">
        <v>0.61</v>
      </c>
      <c r="I10" s="3171">
        <f>F10</f>
        <v>-0.16</v>
      </c>
      <c r="J10" s="3172"/>
      <c r="K10" s="3173">
        <f t="shared" si="38"/>
        <v>1.9E-3</v>
      </c>
      <c r="L10" s="3163">
        <f t="shared" si="38"/>
        <v>2.3999999999999998E-3</v>
      </c>
      <c r="M10" s="3163">
        <f t="shared" si="38"/>
        <v>-1.6000000000000001E-3</v>
      </c>
      <c r="N10" s="3163">
        <f t="shared" si="38"/>
        <v>1.7000000000000001E-3</v>
      </c>
      <c r="O10" s="3163">
        <f t="shared" si="38"/>
        <v>6.0999999999999995E-3</v>
      </c>
      <c r="P10" s="3163">
        <f t="shared" ref="P10" si="48">M10</f>
        <v>-1.6000000000000001E-3</v>
      </c>
      <c r="Q10" s="3172"/>
      <c r="R10" s="3174">
        <f>ROUND(IF(项目基本情况!$B$8="出让",SUMPRODUCT(PRODUCT(1+K10:$K$21)),SUMPRODUCT(PRODUCT(1+K10:$K$20))),4)</f>
        <v>1.0804</v>
      </c>
      <c r="S10" s="3174">
        <f>ROUND(IF(项目基本情况!$B$8="出让",SUMPRODUCT(PRODUCT(1+L10:$L$21)),SUMPRODUCT(PRODUCT(1+L10:$L$20))),4)</f>
        <v>1.0471999999999999</v>
      </c>
      <c r="T10" s="3174">
        <f>ROUND(IF(项目基本情况!$B$8="出让",SUMPRODUCT(PRODUCT(1+M10:$M$21)),SUMPRODUCT(PRODUCT(1+M10:$M$20))),4)</f>
        <v>1.0266</v>
      </c>
      <c r="U10" s="3174">
        <f>ROUND(IF(项目基本情况!$B$8="出让",SUMPRODUCT(PRODUCT(1+N10:$N$21)),SUMPRODUCT(PRODUCT(1+N10:$N$20))),4)</f>
        <v>1.0859000000000001</v>
      </c>
      <c r="V10" s="3174">
        <f>ROUND(IF(项目基本情况!$B$8="出让",SUMPRODUCT(PRODUCT(1+O10:$O$21)),SUMPRODUCT(PRODUCT(1+O10:$O$20))),4)</f>
        <v>1.0741000000000001</v>
      </c>
      <c r="W10" s="3174">
        <f t="shared" ref="W10" si="49">T10</f>
        <v>1.0266</v>
      </c>
      <c r="X10" s="3172"/>
      <c r="Y10" s="3175"/>
      <c r="Z10" s="3175"/>
      <c r="AA10" s="3175"/>
      <c r="AB10" s="3175"/>
      <c r="AC10" s="3175"/>
      <c r="AD10" s="3175"/>
    </row>
    <row r="11" spans="1:30" s="3176" customFormat="1" ht="12.75">
      <c r="A11" s="3167" t="s">
        <v>3366</v>
      </c>
      <c r="B11" s="3168">
        <v>2023</v>
      </c>
      <c r="C11" s="3169">
        <v>3</v>
      </c>
      <c r="D11" s="3170">
        <v>0.25</v>
      </c>
      <c r="E11" s="3170">
        <v>0.5</v>
      </c>
      <c r="F11" s="3170">
        <v>0.31</v>
      </c>
      <c r="G11" s="3170">
        <v>0.21</v>
      </c>
      <c r="H11" s="3187">
        <v>0.43</v>
      </c>
      <c r="I11" s="3171">
        <f t="shared" si="37"/>
        <v>0.31</v>
      </c>
      <c r="J11" s="3172"/>
      <c r="K11" s="3173">
        <f t="shared" ref="K11:K13" si="50">D11/100</f>
        <v>2.5000000000000001E-3</v>
      </c>
      <c r="L11" s="3163">
        <f t="shared" ref="L11:L13" si="51">E11/100</f>
        <v>5.0000000000000001E-3</v>
      </c>
      <c r="M11" s="3163">
        <f t="shared" ref="M11:M13" si="52">F11/100</f>
        <v>3.0999999999999999E-3</v>
      </c>
      <c r="N11" s="3163">
        <f t="shared" ref="N11:N13" si="53">G11/100</f>
        <v>2.0999999999999999E-3</v>
      </c>
      <c r="O11" s="3163">
        <f t="shared" ref="O11:O13" si="54">H11/100</f>
        <v>4.3E-3</v>
      </c>
      <c r="P11" s="3163">
        <f t="shared" ref="P11:P13" si="55">M11</f>
        <v>3.0999999999999999E-3</v>
      </c>
      <c r="Q11" s="3172"/>
      <c r="R11" s="3174">
        <f>ROUND(IF(项目基本情况!$B$8="出让",SUMPRODUCT(PRODUCT(1+K11:$K$21)),SUMPRODUCT(PRODUCT(1+K11:$K$20))),4)</f>
        <v>1.0783</v>
      </c>
      <c r="S11" s="3174">
        <f>ROUND(IF(项目基本情况!$B$8="出让",SUMPRODUCT(PRODUCT(1+L11:$L$21)),SUMPRODUCT(PRODUCT(1+L11:$L$20))),4)</f>
        <v>1.0447</v>
      </c>
      <c r="T11" s="3174">
        <f>ROUND(IF(项目基本情况!$B$8="出让",SUMPRODUCT(PRODUCT(1+M11:$M$21)),SUMPRODUCT(PRODUCT(1+M11:$M$20))),4)</f>
        <v>1.0282</v>
      </c>
      <c r="U11" s="3174">
        <f>ROUND(IF(项目基本情况!$B$8="出让",SUMPRODUCT(PRODUCT(1+N11:$N$21)),SUMPRODUCT(PRODUCT(1+N11:$N$20))),4)</f>
        <v>1.0841000000000001</v>
      </c>
      <c r="V11" s="3174">
        <f>ROUND(IF(项目基本情况!$B$8="出让",SUMPRODUCT(PRODUCT(1+O11:$O$21)),SUMPRODUCT(PRODUCT(1+O11:$O$20))),4)</f>
        <v>1.0674999999999999</v>
      </c>
      <c r="W11" s="3174">
        <f t="shared" ref="W11:W12" si="56">T11</f>
        <v>1.0282</v>
      </c>
      <c r="X11" s="3172"/>
      <c r="Y11" s="3175"/>
      <c r="Z11" s="3175"/>
      <c r="AA11" s="3175"/>
      <c r="AB11" s="3175"/>
      <c r="AC11" s="3175"/>
      <c r="AD11" s="3175"/>
    </row>
    <row r="12" spans="1:30" s="3176" customFormat="1" ht="12.75">
      <c r="A12" s="3167" t="s">
        <v>3362</v>
      </c>
      <c r="B12" s="3168">
        <v>2023</v>
      </c>
      <c r="C12" s="3169">
        <v>2</v>
      </c>
      <c r="D12" s="3170">
        <v>0.91</v>
      </c>
      <c r="E12" s="3170">
        <v>0.66</v>
      </c>
      <c r="F12" s="3170">
        <v>0.47</v>
      </c>
      <c r="G12" s="3170">
        <v>0.96</v>
      </c>
      <c r="H12" s="3187">
        <v>0.71</v>
      </c>
      <c r="I12" s="3171">
        <f t="shared" si="37"/>
        <v>0.47</v>
      </c>
      <c r="J12" s="3172"/>
      <c r="K12" s="3173">
        <f t="shared" si="50"/>
        <v>9.1000000000000004E-3</v>
      </c>
      <c r="L12" s="3163">
        <f t="shared" si="51"/>
        <v>6.6E-3</v>
      </c>
      <c r="M12" s="3163">
        <f t="shared" si="52"/>
        <v>4.6999999999999993E-3</v>
      </c>
      <c r="N12" s="3163">
        <f t="shared" si="53"/>
        <v>9.5999999999999992E-3</v>
      </c>
      <c r="O12" s="3163">
        <f t="shared" si="54"/>
        <v>7.0999999999999995E-3</v>
      </c>
      <c r="P12" s="3163">
        <f t="shared" si="55"/>
        <v>4.6999999999999993E-3</v>
      </c>
      <c r="Q12" s="3172"/>
      <c r="R12" s="3174">
        <f>ROUND(IF(项目基本情况!$B$8="出让",SUMPRODUCT(PRODUCT(1+K12:$K$21)),SUMPRODUCT(PRODUCT(1+K12:$K$20))),4)</f>
        <v>1.0755999999999999</v>
      </c>
      <c r="S12" s="3174">
        <f>ROUND(IF(项目基本情况!$B$8="出让",SUMPRODUCT(PRODUCT(1+L12:$L$21)),SUMPRODUCT(PRODUCT(1+L12:$L$20))),4)</f>
        <v>1.0395000000000001</v>
      </c>
      <c r="T12" s="3174">
        <f>ROUND(IF(项目基本情况!$B$8="出让",SUMPRODUCT(PRODUCT(1+M12:$M$21)),SUMPRODUCT(PRODUCT(1+M12:$M$20))),4)</f>
        <v>1.0250999999999999</v>
      </c>
      <c r="U12" s="3174">
        <f>ROUND(IF(项目基本情况!$B$8="出让",SUMPRODUCT(PRODUCT(1+N12:$N$21)),SUMPRODUCT(PRODUCT(1+N12:$N$20))),4)</f>
        <v>1.0818000000000001</v>
      </c>
      <c r="V12" s="3174">
        <f>ROUND(IF(项目基本情况!$B$8="出让",SUMPRODUCT(PRODUCT(1+O12:$O$21)),SUMPRODUCT(PRODUCT(1+O12:$O$20))),4)</f>
        <v>1.0629999999999999</v>
      </c>
      <c r="W12" s="3174">
        <f t="shared" si="56"/>
        <v>1.0250999999999999</v>
      </c>
      <c r="X12" s="3172"/>
      <c r="Y12" s="3175"/>
      <c r="Z12" s="3175"/>
      <c r="AA12" s="3175"/>
      <c r="AB12" s="3175"/>
      <c r="AC12" s="3175"/>
      <c r="AD12" s="3175"/>
    </row>
    <row r="13" spans="1:30" s="3176" customFormat="1" ht="12.75">
      <c r="A13" s="3167" t="s">
        <v>3361</v>
      </c>
      <c r="B13" s="3168">
        <v>2023</v>
      </c>
      <c r="C13" s="3169">
        <v>1</v>
      </c>
      <c r="D13" s="3170">
        <v>0.89</v>
      </c>
      <c r="E13" s="3170">
        <v>0.74</v>
      </c>
      <c r="F13" s="3170">
        <v>0.56999999999999995</v>
      </c>
      <c r="G13" s="3170">
        <v>0.92</v>
      </c>
      <c r="H13" s="3187">
        <v>0.5</v>
      </c>
      <c r="I13" s="3171">
        <f t="shared" si="37"/>
        <v>0.56999999999999995</v>
      </c>
      <c r="J13" s="3172"/>
      <c r="K13" s="3173">
        <f t="shared" si="50"/>
        <v>8.8999999999999999E-3</v>
      </c>
      <c r="L13" s="3163">
        <f t="shared" si="51"/>
        <v>7.4000000000000003E-3</v>
      </c>
      <c r="M13" s="3163">
        <f t="shared" si="52"/>
        <v>5.6999999999999993E-3</v>
      </c>
      <c r="N13" s="3163">
        <f t="shared" si="53"/>
        <v>9.1999999999999998E-3</v>
      </c>
      <c r="O13" s="3163">
        <f t="shared" si="54"/>
        <v>5.0000000000000001E-3</v>
      </c>
      <c r="P13" s="3163">
        <f t="shared" si="55"/>
        <v>5.6999999999999993E-3</v>
      </c>
      <c r="Q13" s="3172"/>
      <c r="R13" s="3174">
        <f>ROUND(IF(项目基本情况!$B$8="出让",SUMPRODUCT(PRODUCT(1+K13:$K$21)),SUMPRODUCT(PRODUCT(1+K13:$K$20))),4)</f>
        <v>1.0659000000000001</v>
      </c>
      <c r="S13" s="3174">
        <f>ROUND(IF(项目基本情况!$B$8="出让",SUMPRODUCT(PRODUCT(1+L13:$L$21)),SUMPRODUCT(PRODUCT(1+L13:$L$20))),4)</f>
        <v>1.0326</v>
      </c>
      <c r="T13" s="3174">
        <f>ROUND(IF(项目基本情况!$B$8="出让",SUMPRODUCT(PRODUCT(1+M13:$M$21)),SUMPRODUCT(PRODUCT(1+M13:$M$20))),4)</f>
        <v>1.0203</v>
      </c>
      <c r="U13" s="3174">
        <f>ROUND(IF(项目基本情况!$B$8="出让",SUMPRODUCT(PRODUCT(1+N13:$N$21)),SUMPRODUCT(PRODUCT(1+N13:$N$20))),4)</f>
        <v>1.0714999999999999</v>
      </c>
      <c r="V13" s="3174">
        <f>ROUND(IF(项目基本情况!$B$8="出让",SUMPRODUCT(PRODUCT(1+O13:$O$21)),SUMPRODUCT(PRODUCT(1+O13:$O$20))),4)</f>
        <v>1.0555000000000001</v>
      </c>
      <c r="W13" s="3174">
        <f t="shared" ref="W13:W20" si="57">T13</f>
        <v>1.0203</v>
      </c>
      <c r="X13" s="3172"/>
      <c r="Y13" s="3175"/>
      <c r="Z13" s="3175"/>
      <c r="AA13" s="3175"/>
      <c r="AB13" s="3175"/>
      <c r="AC13" s="3175"/>
      <c r="AD13" s="3175"/>
    </row>
    <row r="14" spans="1:30" s="3176" customFormat="1" ht="12.75">
      <c r="A14" s="3167" t="s">
        <v>3360</v>
      </c>
      <c r="B14" s="3168">
        <v>2022</v>
      </c>
      <c r="C14" s="3169">
        <v>4</v>
      </c>
      <c r="D14" s="3170">
        <v>0.62</v>
      </c>
      <c r="E14" s="3170">
        <v>0.2</v>
      </c>
      <c r="F14" s="3170">
        <v>0.11</v>
      </c>
      <c r="G14" s="3170">
        <v>0.69</v>
      </c>
      <c r="H14" s="3187">
        <v>0.53</v>
      </c>
      <c r="I14" s="3171">
        <f t="shared" si="37"/>
        <v>0.11</v>
      </c>
      <c r="J14" s="3172"/>
      <c r="K14" s="3173">
        <f t="shared" si="38"/>
        <v>6.1999999999999998E-3</v>
      </c>
      <c r="L14" s="3163">
        <f t="shared" si="38"/>
        <v>2E-3</v>
      </c>
      <c r="M14" s="3163">
        <f t="shared" si="38"/>
        <v>1.1000000000000001E-3</v>
      </c>
      <c r="N14" s="3163">
        <f t="shared" si="38"/>
        <v>6.8999999999999999E-3</v>
      </c>
      <c r="O14" s="3163">
        <f t="shared" si="38"/>
        <v>5.3E-3</v>
      </c>
      <c r="P14" s="3163">
        <f t="shared" ref="P14:P21" si="58">M14</f>
        <v>1.1000000000000001E-3</v>
      </c>
      <c r="Q14" s="3172"/>
      <c r="R14" s="3174">
        <f>ROUND(IF(项目基本情况!$B$8="出让",SUMPRODUCT(PRODUCT(1+K14:$K$21)),SUMPRODUCT(PRODUCT(1+K14:$K$20))),4)</f>
        <v>1.0565</v>
      </c>
      <c r="S14" s="3174">
        <f>ROUND(IF(项目基本情况!$B$8="出让",SUMPRODUCT(PRODUCT(1+L14:$L$21)),SUMPRODUCT(PRODUCT(1+L14:$L$20))),4)</f>
        <v>1.0250999999999999</v>
      </c>
      <c r="T14" s="3174">
        <f>ROUND(IF(项目基本情况!$B$8="出让",SUMPRODUCT(PRODUCT(1+M14:$M$21)),SUMPRODUCT(PRODUCT(1+M14:$M$20))),4)</f>
        <v>1.0145</v>
      </c>
      <c r="U14" s="3174">
        <f>ROUND(IF(项目基本情况!$B$8="出让",SUMPRODUCT(PRODUCT(1+N14:$N$21)),SUMPRODUCT(PRODUCT(1+N14:$N$20))),4)</f>
        <v>1.0618000000000001</v>
      </c>
      <c r="V14" s="3174">
        <f>ROUND(IF(项目基本情况!$B$8="出让",SUMPRODUCT(PRODUCT(1+O14:$O$21)),SUMPRODUCT(PRODUCT(1+O14:$O$20))),4)</f>
        <v>1.0502</v>
      </c>
      <c r="W14" s="3174">
        <f t="shared" si="57"/>
        <v>1.0145</v>
      </c>
      <c r="X14" s="3172"/>
      <c r="Y14" s="3175">
        <f>IF(D14=0,0,ROUND(AVERAGE(D14:D22)/100,4))</f>
        <v>8.0999999999999996E-3</v>
      </c>
      <c r="Z14" s="3175">
        <f t="shared" ref="Z14:AC14" si="59">IF(E14=0,0,ROUND(AVERAGE(E14:E21)/100,4))</f>
        <v>3.3E-3</v>
      </c>
      <c r="AA14" s="3175">
        <f t="shared" si="59"/>
        <v>1.5E-3</v>
      </c>
      <c r="AB14" s="3175">
        <f t="shared" si="59"/>
        <v>8.8999999999999999E-3</v>
      </c>
      <c r="AC14" s="3175">
        <f t="shared" si="59"/>
        <v>6.6E-3</v>
      </c>
      <c r="AD14" s="3175">
        <f t="shared" si="40"/>
        <v>1.5E-3</v>
      </c>
    </row>
    <row r="15" spans="1:30" s="3176" customFormat="1" ht="12.75">
      <c r="A15" s="3167" t="s">
        <v>3356</v>
      </c>
      <c r="B15" s="3168">
        <v>2022</v>
      </c>
      <c r="C15" s="3169">
        <v>3</v>
      </c>
      <c r="D15" s="3170">
        <v>0.66</v>
      </c>
      <c r="E15" s="3170">
        <v>0.32</v>
      </c>
      <c r="F15" s="3170">
        <v>0.23</v>
      </c>
      <c r="G15" s="3170">
        <v>0.72</v>
      </c>
      <c r="H15" s="3187">
        <v>0.63</v>
      </c>
      <c r="I15" s="3171">
        <f t="shared" si="37"/>
        <v>0.23</v>
      </c>
      <c r="J15" s="3172"/>
      <c r="K15" s="3173">
        <f t="shared" si="38"/>
        <v>6.6E-3</v>
      </c>
      <c r="L15" s="3163">
        <f t="shared" si="38"/>
        <v>3.2000000000000002E-3</v>
      </c>
      <c r="M15" s="3163">
        <f t="shared" si="38"/>
        <v>2.3E-3</v>
      </c>
      <c r="N15" s="3163">
        <f t="shared" si="38"/>
        <v>7.1999999999999998E-3</v>
      </c>
      <c r="O15" s="3163">
        <f t="shared" si="38"/>
        <v>6.3E-3</v>
      </c>
      <c r="P15" s="3163">
        <f t="shared" si="58"/>
        <v>2.3E-3</v>
      </c>
      <c r="Q15" s="3172"/>
      <c r="R15" s="3174">
        <f>ROUND(IF(项目基本情况!$B$8="出让",SUMPRODUCT(PRODUCT(1+K15:$K$21)),SUMPRODUCT(PRODUCT(1+K15:$K$20))),4)</f>
        <v>1.05</v>
      </c>
      <c r="S15" s="3174">
        <f>ROUND(IF(项目基本情况!$B$8="出让",SUMPRODUCT(PRODUCT(1+L15:$L$21)),SUMPRODUCT(PRODUCT(1+L15:$L$20))),4)</f>
        <v>1.0229999999999999</v>
      </c>
      <c r="T15" s="3174">
        <f>ROUND(IF(项目基本情况!$B$8="出让",SUMPRODUCT(PRODUCT(1+M15:$M$21)),SUMPRODUCT(PRODUCT(1+M15:$M$20))),4)</f>
        <v>1.0134000000000001</v>
      </c>
      <c r="U15" s="3174">
        <f>ROUND(IF(项目基本情况!$B$8="出让",SUMPRODUCT(PRODUCT(1+N15:$N$21)),SUMPRODUCT(PRODUCT(1+N15:$N$20))),4)</f>
        <v>1.0545</v>
      </c>
      <c r="V15" s="3174">
        <f>ROUND(IF(项目基本情况!$B$8="出让",SUMPRODUCT(PRODUCT(1+O15:$O$21)),SUMPRODUCT(PRODUCT(1+O15:$O$20))),4)</f>
        <v>1.0447</v>
      </c>
      <c r="W15" s="3174">
        <f t="shared" si="57"/>
        <v>1.0134000000000001</v>
      </c>
      <c r="X15" s="3172"/>
      <c r="Y15" s="3175">
        <f>IF(D15=0,0,ROUND(AVERAGE(D15:D21)/100,4))</f>
        <v>8.3999999999999995E-3</v>
      </c>
      <c r="Z15" s="3175">
        <f t="shared" ref="Z15:AC15" si="60">IF(E15=0,0,ROUND(AVERAGE(E15:E21)/100,4))</f>
        <v>3.5000000000000001E-3</v>
      </c>
      <c r="AA15" s="3175">
        <f t="shared" si="60"/>
        <v>1.5E-3</v>
      </c>
      <c r="AB15" s="3175">
        <f t="shared" si="60"/>
        <v>9.1999999999999998E-3</v>
      </c>
      <c r="AC15" s="3175">
        <f t="shared" si="60"/>
        <v>6.7999999999999996E-3</v>
      </c>
      <c r="AD15" s="3175">
        <f t="shared" si="40"/>
        <v>1.5E-3</v>
      </c>
    </row>
    <row r="16" spans="1:30" s="3176" customFormat="1" ht="12.75">
      <c r="A16" s="3167" t="s">
        <v>3347</v>
      </c>
      <c r="B16" s="3168">
        <v>2022</v>
      </c>
      <c r="C16" s="3169">
        <v>2</v>
      </c>
      <c r="D16" s="3170">
        <v>0.93</v>
      </c>
      <c r="E16" s="3170">
        <v>0.15</v>
      </c>
      <c r="F16" s="3170">
        <v>0.01</v>
      </c>
      <c r="G16" s="3170">
        <v>1.05</v>
      </c>
      <c r="H16" s="3187">
        <v>1.08</v>
      </c>
      <c r="I16" s="3171">
        <f t="shared" si="37"/>
        <v>0.01</v>
      </c>
      <c r="J16" s="3172"/>
      <c r="K16" s="3173">
        <f t="shared" si="38"/>
        <v>9.300000000000001E-3</v>
      </c>
      <c r="L16" s="3163">
        <f t="shared" si="38"/>
        <v>1.5E-3</v>
      </c>
      <c r="M16" s="3163">
        <f t="shared" si="38"/>
        <v>1E-4</v>
      </c>
      <c r="N16" s="3163">
        <f t="shared" si="38"/>
        <v>1.0500000000000001E-2</v>
      </c>
      <c r="O16" s="3163">
        <f t="shared" si="38"/>
        <v>1.0800000000000001E-2</v>
      </c>
      <c r="P16" s="3163">
        <f t="shared" si="58"/>
        <v>1E-4</v>
      </c>
      <c r="Q16" s="3172"/>
      <c r="R16" s="3174">
        <f>ROUND(IF(项目基本情况!$B$8="出让",SUMPRODUCT(PRODUCT(1+K16:$K$21)),SUMPRODUCT(PRODUCT(1+K16:$K$20))),4)</f>
        <v>1.0430999999999999</v>
      </c>
      <c r="S16" s="3174">
        <f>ROUND(IF(项目基本情况!$B$8="出让",SUMPRODUCT(PRODUCT(1+L16:$L$21)),SUMPRODUCT(PRODUCT(1+L16:$L$20))),4)</f>
        <v>1.0197000000000001</v>
      </c>
      <c r="T16" s="3174">
        <f>ROUND(IF(项目基本情况!$B$8="出让",SUMPRODUCT(PRODUCT(1+M16:$M$21)),SUMPRODUCT(PRODUCT(1+M16:$M$20))),4)</f>
        <v>1.0109999999999999</v>
      </c>
      <c r="U16" s="3174">
        <f>ROUND(IF(项目基本情况!$B$8="出让",SUMPRODUCT(PRODUCT(1+N16:$N$21)),SUMPRODUCT(PRODUCT(1+N16:$N$20))),4)</f>
        <v>1.0468999999999999</v>
      </c>
      <c r="V16" s="3174">
        <f>ROUND(IF(项目基本情况!$B$8="出让",SUMPRODUCT(PRODUCT(1+O16:$O$21)),SUMPRODUCT(PRODUCT(1+O16:$O$20))),4)</f>
        <v>1.0382</v>
      </c>
      <c r="W16" s="3174">
        <f t="shared" si="57"/>
        <v>1.0109999999999999</v>
      </c>
      <c r="X16" s="3172"/>
      <c r="Y16" s="3175">
        <f>IF(D16=0,0,ROUND(AVERAGE(D16:D21)/100,4))</f>
        <v>8.6999999999999994E-3</v>
      </c>
      <c r="Z16" s="3175">
        <f t="shared" ref="Z16:AC16" si="61">IF(E16=0,0,ROUND(AVERAGE(E16:E21)/100,4))</f>
        <v>3.5000000000000001E-3</v>
      </c>
      <c r="AA16" s="3175">
        <f t="shared" si="61"/>
        <v>1.4E-3</v>
      </c>
      <c r="AB16" s="3175">
        <f t="shared" si="61"/>
        <v>9.4999999999999998E-3</v>
      </c>
      <c r="AC16" s="3175">
        <f t="shared" si="61"/>
        <v>6.8999999999999999E-3</v>
      </c>
      <c r="AD16" s="3175">
        <f t="shared" si="40"/>
        <v>1.4E-3</v>
      </c>
    </row>
    <row r="17" spans="1:30" s="3176" customFormat="1" ht="12.75">
      <c r="A17" s="3167" t="s">
        <v>2813</v>
      </c>
      <c r="B17" s="3168">
        <v>2022</v>
      </c>
      <c r="C17" s="3169">
        <v>1</v>
      </c>
      <c r="D17" s="3170">
        <v>0.89</v>
      </c>
      <c r="E17" s="3170">
        <v>0.44</v>
      </c>
      <c r="F17" s="3170">
        <v>0.37</v>
      </c>
      <c r="G17" s="3170">
        <v>0.96</v>
      </c>
      <c r="H17" s="3187">
        <v>0.64</v>
      </c>
      <c r="I17" s="3171">
        <f t="shared" si="37"/>
        <v>0.37</v>
      </c>
      <c r="J17" s="3172"/>
      <c r="K17" s="3173">
        <f t="shared" si="38"/>
        <v>8.8999999999999999E-3</v>
      </c>
      <c r="L17" s="3163">
        <f t="shared" si="38"/>
        <v>4.4000000000000003E-3</v>
      </c>
      <c r="M17" s="3163">
        <f t="shared" si="38"/>
        <v>3.7000000000000002E-3</v>
      </c>
      <c r="N17" s="3163">
        <f t="shared" si="38"/>
        <v>9.5999999999999992E-3</v>
      </c>
      <c r="O17" s="3163">
        <f t="shared" si="38"/>
        <v>6.4000000000000003E-3</v>
      </c>
      <c r="P17" s="3163">
        <f t="shared" si="58"/>
        <v>3.7000000000000002E-3</v>
      </c>
      <c r="Q17" s="3172"/>
      <c r="R17" s="3174">
        <f>ROUND(IF(项目基本情况!$B$8="出让",SUMPRODUCT(PRODUCT(1+K17:$K$21)),SUMPRODUCT(PRODUCT(1+K17:$K$20))),4)</f>
        <v>1.0335000000000001</v>
      </c>
      <c r="S17" s="3174">
        <f>ROUND(IF(项目基本情况!$B$8="出让",SUMPRODUCT(PRODUCT(1+L17:$L$21)),SUMPRODUCT(PRODUCT(1+L17:$L$20))),4)</f>
        <v>1.0182</v>
      </c>
      <c r="T17" s="3174">
        <f>ROUND(IF(项目基本情况!$B$8="出让",SUMPRODUCT(PRODUCT(1+M17:$M$21)),SUMPRODUCT(PRODUCT(1+M17:$M$20))),4)</f>
        <v>1.0108999999999999</v>
      </c>
      <c r="U17" s="3174">
        <f>ROUND(IF(项目基本情况!$B$8="出让",SUMPRODUCT(PRODUCT(1+N17:$N$21)),SUMPRODUCT(PRODUCT(1+N17:$N$20))),4)</f>
        <v>1.0361</v>
      </c>
      <c r="V17" s="3174">
        <f>ROUND(IF(项目基本情况!$B$8="出让",SUMPRODUCT(PRODUCT(1+O17:$O$21)),SUMPRODUCT(PRODUCT(1+O17:$O$20))),4)</f>
        <v>1.0270999999999999</v>
      </c>
      <c r="W17" s="3174">
        <f t="shared" si="57"/>
        <v>1.0108999999999999</v>
      </c>
      <c r="X17" s="3172"/>
      <c r="Y17" s="3175">
        <f>IF(D17=0,0,ROUND(AVERAGE(D17:D21)/100,4))</f>
        <v>8.6E-3</v>
      </c>
      <c r="Z17" s="3175">
        <f t="shared" ref="Z17:AC17" si="62">IF(E17=0,0,ROUND(AVERAGE(E17:E21)/100,4))</f>
        <v>3.8999999999999998E-3</v>
      </c>
      <c r="AA17" s="3175">
        <f t="shared" si="62"/>
        <v>1.6999999999999999E-3</v>
      </c>
      <c r="AB17" s="3175">
        <f t="shared" si="62"/>
        <v>9.2999999999999992E-3</v>
      </c>
      <c r="AC17" s="3175">
        <f t="shared" si="62"/>
        <v>6.1000000000000004E-3</v>
      </c>
      <c r="AD17" s="3175">
        <f t="shared" si="40"/>
        <v>1.6999999999999999E-3</v>
      </c>
    </row>
    <row r="18" spans="1:30" s="3176" customFormat="1" ht="12.75">
      <c r="A18" s="3167" t="s">
        <v>2814</v>
      </c>
      <c r="B18" s="3168">
        <v>2021</v>
      </c>
      <c r="C18" s="3169">
        <v>4</v>
      </c>
      <c r="D18" s="3170">
        <v>1.03</v>
      </c>
      <c r="E18" s="3170">
        <v>0.24</v>
      </c>
      <c r="F18" s="3170">
        <v>7.0000000000000007E-2</v>
      </c>
      <c r="G18" s="3170">
        <v>1.17</v>
      </c>
      <c r="H18" s="3187">
        <v>0.55000000000000004</v>
      </c>
      <c r="I18" s="3171">
        <f t="shared" si="37"/>
        <v>7.0000000000000007E-2</v>
      </c>
      <c r="J18" s="3172"/>
      <c r="K18" s="3173">
        <f t="shared" si="38"/>
        <v>1.03E-2</v>
      </c>
      <c r="L18" s="3163">
        <f t="shared" si="38"/>
        <v>2.3999999999999998E-3</v>
      </c>
      <c r="M18" s="3163">
        <f t="shared" si="38"/>
        <v>7.000000000000001E-4</v>
      </c>
      <c r="N18" s="3163">
        <f t="shared" si="38"/>
        <v>1.1699999999999999E-2</v>
      </c>
      <c r="O18" s="3163">
        <f t="shared" si="38"/>
        <v>5.5000000000000005E-3</v>
      </c>
      <c r="P18" s="3163">
        <f t="shared" si="58"/>
        <v>7.000000000000001E-4</v>
      </c>
      <c r="Q18" s="3172"/>
      <c r="R18" s="3174">
        <f>ROUND(IF(项目基本情况!$B$8="出让",SUMPRODUCT(PRODUCT(1+K18:$K$21)),SUMPRODUCT(PRODUCT(1+K18:$K$20))),4)</f>
        <v>1.0244</v>
      </c>
      <c r="S18" s="3174">
        <f>ROUND(IF(项目基本情况!$B$8="出让",SUMPRODUCT(PRODUCT(1+L18:$L$21)),SUMPRODUCT(PRODUCT(1+L18:$L$20))),4)</f>
        <v>1.0138</v>
      </c>
      <c r="T18" s="3174">
        <f>ROUND(IF(项目基本情况!$B$8="出让",SUMPRODUCT(PRODUCT(1+M18:$M$21)),SUMPRODUCT(PRODUCT(1+M18:$M$20))),4)</f>
        <v>1.0072000000000001</v>
      </c>
      <c r="U18" s="3174">
        <f>ROUND(IF(项目基本情况!$B$8="出让",SUMPRODUCT(PRODUCT(1+N18:$N$21)),SUMPRODUCT(PRODUCT(1+N18:$N$20))),4)</f>
        <v>1.0262</v>
      </c>
      <c r="V18" s="3174">
        <f>ROUND(IF(项目基本情况!$B$8="出让",SUMPRODUCT(PRODUCT(1+O18:$O$21)),SUMPRODUCT(PRODUCT(1+O18:$O$20))),4)</f>
        <v>1.0205</v>
      </c>
      <c r="W18" s="3174">
        <f t="shared" si="57"/>
        <v>1.0072000000000001</v>
      </c>
      <c r="X18" s="3172"/>
      <c r="Y18" s="3175">
        <f>IF(D18=0,0,ROUND(AVERAGE(D18:D21)/100,4))</f>
        <v>8.5000000000000006E-3</v>
      </c>
      <c r="Z18" s="3175">
        <f t="shared" ref="Z18:AC18" si="63">IF(E18=0,0,ROUND(AVERAGE(E18:E21)/100,4))</f>
        <v>3.8E-3</v>
      </c>
      <c r="AA18" s="3175">
        <f t="shared" si="63"/>
        <v>1.1999999999999999E-3</v>
      </c>
      <c r="AB18" s="3175">
        <f t="shared" si="63"/>
        <v>9.2999999999999992E-3</v>
      </c>
      <c r="AC18" s="3175">
        <f t="shared" si="63"/>
        <v>6.0000000000000001E-3</v>
      </c>
      <c r="AD18" s="3175">
        <f t="shared" si="40"/>
        <v>1.1999999999999999E-3</v>
      </c>
    </row>
    <row r="19" spans="1:30" s="3176" customFormat="1" ht="12.75">
      <c r="A19" s="3167" t="s">
        <v>2815</v>
      </c>
      <c r="B19" s="3168">
        <v>2021</v>
      </c>
      <c r="C19" s="3169">
        <v>3</v>
      </c>
      <c r="D19" s="3170">
        <v>0.47</v>
      </c>
      <c r="E19" s="3170">
        <v>0.41</v>
      </c>
      <c r="F19" s="3170">
        <v>0.24</v>
      </c>
      <c r="G19" s="3170">
        <v>0.48</v>
      </c>
      <c r="H19" s="3187">
        <v>0.48</v>
      </c>
      <c r="I19" s="3171">
        <f t="shared" si="37"/>
        <v>0.24</v>
      </c>
      <c r="J19" s="3172"/>
      <c r="K19" s="3173">
        <f t="shared" si="38"/>
        <v>4.6999999999999993E-3</v>
      </c>
      <c r="L19" s="3163">
        <f t="shared" si="38"/>
        <v>4.0999999999999995E-3</v>
      </c>
      <c r="M19" s="3163">
        <f t="shared" si="38"/>
        <v>2.3999999999999998E-3</v>
      </c>
      <c r="N19" s="3163">
        <f t="shared" si="38"/>
        <v>4.7999999999999996E-3</v>
      </c>
      <c r="O19" s="3163">
        <f t="shared" si="38"/>
        <v>4.7999999999999996E-3</v>
      </c>
      <c r="P19" s="3163">
        <f t="shared" si="58"/>
        <v>2.3999999999999998E-3</v>
      </c>
      <c r="Q19" s="3172"/>
      <c r="R19" s="3174">
        <f>ROUND(IF(项目基本情况!$B$8="出让",SUMPRODUCT(PRODUCT(1+K19:$K$21)),SUMPRODUCT(PRODUCT(1+K19:$K$20))),4)</f>
        <v>1.0139</v>
      </c>
      <c r="S19" s="3174">
        <f>ROUND(IF(项目基本情况!$B$8="出让",SUMPRODUCT(PRODUCT(1+L19:$L$21)),SUMPRODUCT(PRODUCT(1+L19:$L$20))),4)</f>
        <v>1.0113000000000001</v>
      </c>
      <c r="T19" s="3174">
        <f>ROUND(IF(项目基本情况!$B$8="出让",SUMPRODUCT(PRODUCT(1+M19:$M$21)),SUMPRODUCT(PRODUCT(1+M19:$M$20))),4)</f>
        <v>1.0065</v>
      </c>
      <c r="U19" s="3174">
        <f>ROUND(IF(项目基本情况!$B$8="出让",SUMPRODUCT(PRODUCT(1+N19:$N$21)),SUMPRODUCT(PRODUCT(1+N19:$N$20))),4)</f>
        <v>1.0143</v>
      </c>
      <c r="V19" s="3174">
        <f>ROUND(IF(项目基本情况!$B$8="出让",SUMPRODUCT(PRODUCT(1+O19:$O$21)),SUMPRODUCT(PRODUCT(1+O19:$O$20))),4)</f>
        <v>1.0148999999999999</v>
      </c>
      <c r="W19" s="3174">
        <f t="shared" si="57"/>
        <v>1.0065</v>
      </c>
      <c r="X19" s="3172"/>
      <c r="Y19" s="3175">
        <f>IF(D19=0,0,ROUND(AVERAGE(D19:D21)/100,4))</f>
        <v>7.9000000000000008E-3</v>
      </c>
      <c r="Z19" s="3175">
        <f>IF(E19=0,0,ROUND(AVERAGE(E19:E21)/100,4))</f>
        <v>4.3E-3</v>
      </c>
      <c r="AA19" s="3175">
        <f>IF(F19=0,0,ROUND(AVERAGE(F19:F21)/100,4))</f>
        <v>1.2999999999999999E-3</v>
      </c>
      <c r="AB19" s="3175">
        <f>IF(G19=0,0,ROUND(AVERAGE(G19:G21)/100,4))</f>
        <v>8.5000000000000006E-3</v>
      </c>
      <c r="AC19" s="3175">
        <f>IF(H19=0,0,ROUND(AVERAGE(H19:H21)/100,4))</f>
        <v>6.1999999999999998E-3</v>
      </c>
      <c r="AD19" s="3175">
        <f t="shared" si="40"/>
        <v>1.2999999999999999E-3</v>
      </c>
    </row>
    <row r="20" spans="1:30" s="3176" customFormat="1" ht="12.75">
      <c r="A20" s="3167" t="s">
        <v>2816</v>
      </c>
      <c r="B20" s="3168">
        <v>2021</v>
      </c>
      <c r="C20" s="3169">
        <v>2</v>
      </c>
      <c r="D20" s="3170">
        <v>0.92</v>
      </c>
      <c r="E20" s="3170">
        <v>0.72</v>
      </c>
      <c r="F20" s="3170">
        <v>0.41</v>
      </c>
      <c r="G20" s="3170">
        <v>0.95</v>
      </c>
      <c r="H20" s="3187">
        <v>1.01</v>
      </c>
      <c r="I20" s="3171">
        <f t="shared" si="37"/>
        <v>0.41</v>
      </c>
      <c r="J20" s="3172"/>
      <c r="K20" s="3173">
        <f t="shared" si="38"/>
        <v>9.1999999999999998E-3</v>
      </c>
      <c r="L20" s="3163">
        <f t="shared" si="38"/>
        <v>7.1999999999999998E-3</v>
      </c>
      <c r="M20" s="3163">
        <f t="shared" si="38"/>
        <v>4.0999999999999995E-3</v>
      </c>
      <c r="N20" s="3163">
        <f t="shared" si="38"/>
        <v>9.4999999999999998E-3</v>
      </c>
      <c r="O20" s="3163">
        <f t="shared" si="38"/>
        <v>1.01E-2</v>
      </c>
      <c r="P20" s="3163">
        <f t="shared" si="58"/>
        <v>4.0999999999999995E-3</v>
      </c>
      <c r="Q20" s="3172"/>
      <c r="R20" s="3174">
        <f>ROUND(IF(项目基本情况!$B$8="出让",SUMPRODUCT(PRODUCT(1+K20:$K$21)),SUMPRODUCT(PRODUCT(1+K20:$K$20))),4)</f>
        <v>1.0092000000000001</v>
      </c>
      <c r="S20" s="3174">
        <f>ROUND(IF(项目基本情况!$B$8="出让",SUMPRODUCT(PRODUCT(1+L20:$L$21)),SUMPRODUCT(PRODUCT(1+L20:$L$20))),4)</f>
        <v>1.0072000000000001</v>
      </c>
      <c r="T20" s="3174">
        <f>ROUND(IF(项目基本情况!$B$8="出让",SUMPRODUCT(PRODUCT(1+M20:$M$21)),SUMPRODUCT(PRODUCT(1+M20:$M$20))),4)</f>
        <v>1.0041</v>
      </c>
      <c r="U20" s="3174">
        <f>ROUND(IF(项目基本情况!$B$8="出让",SUMPRODUCT(PRODUCT(1+N20:$N$21)),SUMPRODUCT(PRODUCT(1+N20:$N$20))),4)</f>
        <v>1.0095000000000001</v>
      </c>
      <c r="V20" s="3174">
        <f>ROUND(IF(项目基本情况!$B$8="出让",SUMPRODUCT(PRODUCT(1+O20:$O$21)),SUMPRODUCT(PRODUCT(1+O20:$O$20))),4)</f>
        <v>1.0101</v>
      </c>
      <c r="W20" s="3174">
        <f t="shared" si="57"/>
        <v>1.0041</v>
      </c>
      <c r="X20" s="3172"/>
      <c r="Y20" s="3175">
        <f>IF(D20=0,0,ROUND(AVERAGE(D20:D21)/100,4))</f>
        <v>9.4999999999999998E-3</v>
      </c>
      <c r="Z20" s="3175">
        <f>IF(E20=0,0,ROUND(AVERAGE(E20:E21)/100,4))</f>
        <v>4.4000000000000003E-3</v>
      </c>
      <c r="AA20" s="3175">
        <f>IF(F20=0,0,ROUND(AVERAGE(F20:F21)/100,4))</f>
        <v>8.0000000000000004E-4</v>
      </c>
      <c r="AB20" s="3175">
        <f>IF(G20=0,0,ROUND(AVERAGE(G20:G21)/100,4))</f>
        <v>1.03E-2</v>
      </c>
      <c r="AC20" s="3175">
        <f>IF(H20=0,0,ROUND(AVERAGE(H20:H21)/100,4))</f>
        <v>6.8999999999999999E-3</v>
      </c>
      <c r="AD20" s="3175">
        <f t="shared" si="40"/>
        <v>8.0000000000000004E-4</v>
      </c>
    </row>
    <row r="21" spans="1:30" s="3198" customFormat="1" thickBot="1">
      <c r="A21" s="3188" t="s">
        <v>2817</v>
      </c>
      <c r="B21" s="3189">
        <v>2021</v>
      </c>
      <c r="C21" s="3190">
        <v>1</v>
      </c>
      <c r="D21" s="3191">
        <v>0.97</v>
      </c>
      <c r="E21" s="3191">
        <v>0.16</v>
      </c>
      <c r="F21" s="3191">
        <v>-0.25</v>
      </c>
      <c r="G21" s="3191">
        <v>1.1100000000000001</v>
      </c>
      <c r="H21" s="3192">
        <v>0.36</v>
      </c>
      <c r="I21" s="3193">
        <f t="shared" si="37"/>
        <v>-0.25</v>
      </c>
      <c r="J21" s="3194"/>
      <c r="K21" s="3195">
        <f t="shared" si="38"/>
        <v>9.7000000000000003E-3</v>
      </c>
      <c r="L21" s="3196">
        <f t="shared" si="38"/>
        <v>1.6000000000000001E-3</v>
      </c>
      <c r="M21" s="3196">
        <f>F21/100</f>
        <v>-2.5000000000000001E-3</v>
      </c>
      <c r="N21" s="3196">
        <f t="shared" si="38"/>
        <v>1.11E-2</v>
      </c>
      <c r="O21" s="3196">
        <f t="shared" si="38"/>
        <v>3.5999999999999999E-3</v>
      </c>
      <c r="P21" s="3196">
        <f t="shared" si="58"/>
        <v>-2.5000000000000001E-3</v>
      </c>
      <c r="Q21" s="3194"/>
      <c r="R21" s="3197">
        <v>1</v>
      </c>
      <c r="S21" s="3197">
        <v>1</v>
      </c>
      <c r="T21" s="3197">
        <v>1</v>
      </c>
      <c r="U21" s="3197">
        <v>1</v>
      </c>
      <c r="V21" s="3197">
        <v>1</v>
      </c>
      <c r="W21" s="3197">
        <f t="shared" ref="W21" si="64">T21</f>
        <v>1</v>
      </c>
      <c r="X21" s="3194"/>
      <c r="Y21" s="3196">
        <f>IF(D21=0,0,ROUND(AVERAGE(D21:D21)/100,4))</f>
        <v>9.7000000000000003E-3</v>
      </c>
      <c r="Z21" s="3196">
        <f>IF(E21=0,0,ROUND(AVERAGE(E21:E21)/100,4))</f>
        <v>1.6000000000000001E-3</v>
      </c>
      <c r="AA21" s="3196">
        <f>IF(F21=0,0,ROUND(AVERAGE(F21:F21)/100,4))</f>
        <v>-2.5000000000000001E-3</v>
      </c>
      <c r="AB21" s="3196">
        <f>IF(G21=0,0,ROUND(AVERAGE(G21:G21)/100,4))</f>
        <v>1.11E-2</v>
      </c>
      <c r="AC21" s="3196">
        <f>IF(H21=0,0,ROUND(AVERAGE(H21:H21)/100,4))</f>
        <v>3.5999999999999999E-3</v>
      </c>
      <c r="AD21" s="3196">
        <f>AA21</f>
        <v>-2.5000000000000001E-3</v>
      </c>
    </row>
    <row r="22" spans="1:30" s="3000" customFormat="1" ht="14.25" thickTop="1"/>
    <row r="23" spans="1:30" s="3000" customFormat="1">
      <c r="A23" s="3439" t="s">
        <v>3358</v>
      </c>
    </row>
    <row r="24" spans="1:30" s="3000" customFormat="1">
      <c r="I24" s="3199" t="s">
        <v>2818</v>
      </c>
    </row>
    <row r="25" spans="1:30" s="3000" customFormat="1"/>
    <row r="26" spans="1:30" s="3200" customFormat="1" ht="12.75">
      <c r="B26" s="3201" t="s">
        <v>3364</v>
      </c>
      <c r="C26" s="3202"/>
      <c r="D26" s="3202"/>
      <c r="E26" s="3202"/>
      <c r="F26" s="3202"/>
      <c r="G26" s="3202"/>
      <c r="H26" s="3202"/>
      <c r="I26" s="3202"/>
      <c r="J26" s="3156"/>
      <c r="K26" s="3202" t="s">
        <v>2819</v>
      </c>
      <c r="L26" s="3202"/>
      <c r="M26" s="3202"/>
      <c r="N26" s="3202"/>
      <c r="O26" s="3202"/>
      <c r="P26" s="3202"/>
      <c r="Q26" s="3156"/>
      <c r="R26" s="3800" t="s">
        <v>2820</v>
      </c>
      <c r="S26" s="3801"/>
      <c r="T26" s="3801"/>
      <c r="U26" s="3801"/>
      <c r="V26" s="3801"/>
      <c r="W26" s="3801"/>
      <c r="X26" s="3156"/>
      <c r="Y26" s="3800" t="s">
        <v>2821</v>
      </c>
      <c r="Z26" s="3801"/>
      <c r="AA26" s="3801"/>
      <c r="AB26" s="3801"/>
      <c r="AC26" s="3801"/>
      <c r="AD26" s="3801"/>
    </row>
    <row r="27" spans="1:30" s="3134" customFormat="1" ht="14.25" thickBot="1">
      <c r="B27" s="3135"/>
      <c r="C27" s="3136"/>
      <c r="D27" s="3137" t="s">
        <v>2822</v>
      </c>
      <c r="E27" s="3138" t="s">
        <v>2823</v>
      </c>
      <c r="F27" s="3138" t="s">
        <v>2824</v>
      </c>
      <c r="G27" s="3138" t="s">
        <v>2825</v>
      </c>
      <c r="H27" s="3138"/>
      <c r="I27" s="3138" t="s">
        <v>2826</v>
      </c>
      <c r="J27" s="3139"/>
      <c r="K27" s="3137" t="s">
        <v>2822</v>
      </c>
      <c r="L27" s="3138" t="s">
        <v>2823</v>
      </c>
      <c r="M27" s="3138" t="s">
        <v>2824</v>
      </c>
      <c r="N27" s="3138" t="s">
        <v>2825</v>
      </c>
      <c r="O27" s="3138"/>
      <c r="P27" s="3138" t="s">
        <v>2826</v>
      </c>
      <c r="Q27" s="3139"/>
      <c r="R27" s="3137" t="s">
        <v>2822</v>
      </c>
      <c r="S27" s="3138" t="s">
        <v>2823</v>
      </c>
      <c r="T27" s="3138" t="s">
        <v>2824</v>
      </c>
      <c r="U27" s="3138" t="s">
        <v>2825</v>
      </c>
      <c r="V27" s="3138"/>
      <c r="W27" s="3138" t="s">
        <v>2826</v>
      </c>
      <c r="X27" s="3139"/>
      <c r="Y27" s="3137" t="s">
        <v>2822</v>
      </c>
      <c r="Z27" s="3138" t="s">
        <v>2823</v>
      </c>
      <c r="AA27" s="3138" t="s">
        <v>2824</v>
      </c>
      <c r="AB27" s="3138" t="s">
        <v>2825</v>
      </c>
      <c r="AC27" s="3138"/>
      <c r="AD27" s="3138" t="s">
        <v>2826</v>
      </c>
    </row>
    <row r="28" spans="1:30" s="3152" customFormat="1" ht="12.75">
      <c r="A28" s="3140" t="s">
        <v>2827</v>
      </c>
      <c r="B28" s="3141"/>
      <c r="C28" s="3142"/>
      <c r="D28" s="3142"/>
      <c r="E28" s="3142">
        <f t="shared" ref="E28:G28" si="65">ROUND(AVERAGEIF(E29:E46,"&lt;&gt;0"),2)</f>
        <v>0.33</v>
      </c>
      <c r="F28" s="3142">
        <f t="shared" si="65"/>
        <v>0.24</v>
      </c>
      <c r="G28" s="3142">
        <f t="shared" si="65"/>
        <v>0.62</v>
      </c>
      <c r="H28" s="3142"/>
      <c r="I28" s="3142">
        <f>F28</f>
        <v>0.24</v>
      </c>
      <c r="J28" s="3143"/>
      <c r="K28" s="3144"/>
      <c r="L28" s="3145">
        <f t="shared" ref="L28:N28" si="66">ROUND(AVERAGEIF(L29:L46,"&lt;&gt;0"),4)</f>
        <v>3.3E-3</v>
      </c>
      <c r="M28" s="3145">
        <f t="shared" si="66"/>
        <v>2.3999999999999998E-3</v>
      </c>
      <c r="N28" s="3145">
        <f t="shared" si="66"/>
        <v>6.1999999999999998E-3</v>
      </c>
      <c r="O28" s="3145"/>
      <c r="P28" s="3145">
        <f>M28</f>
        <v>2.3999999999999998E-3</v>
      </c>
      <c r="Q28" s="3143"/>
      <c r="R28" s="3146"/>
      <c r="S28" s="3147">
        <f>ROUND(SUMPRODUCT(PRODUCT(1+L29:L46)),4)</f>
        <v>1.0468999999999999</v>
      </c>
      <c r="T28" s="3147">
        <f t="shared" ref="T28:U28" si="67">ROUND(SUMPRODUCT(PRODUCT(1+M29:M46)),4)</f>
        <v>1.0347</v>
      </c>
      <c r="U28" s="3147">
        <f t="shared" si="67"/>
        <v>1.0895999999999999</v>
      </c>
      <c r="V28" s="3147"/>
      <c r="W28" s="3146">
        <f>T28</f>
        <v>1.0347</v>
      </c>
      <c r="X28" s="3143"/>
      <c r="Y28" s="3148"/>
      <c r="Z28" s="3149">
        <f t="shared" ref="Z28:AB28" si="68">ROUND(AVERAGEIF(Z29:Z46,"&lt;&gt;0"),4)</f>
        <v>4.1999999999999997E-3</v>
      </c>
      <c r="AA28" s="3150">
        <f t="shared" si="68"/>
        <v>3.3999999999999998E-3</v>
      </c>
      <c r="AB28" s="3148">
        <f t="shared" si="68"/>
        <v>8.6E-3</v>
      </c>
      <c r="AC28" s="3151"/>
      <c r="AD28" s="3148">
        <f>AA28</f>
        <v>3.3999999999999998E-3</v>
      </c>
    </row>
    <row r="29" spans="1:30" s="3153" customFormat="1" ht="12.75">
      <c r="B29" s="3154"/>
      <c r="C29" s="3155"/>
      <c r="D29" s="3155"/>
      <c r="E29" s="3155"/>
      <c r="F29" s="3155"/>
      <c r="G29" s="3155"/>
      <c r="H29" s="3155"/>
      <c r="I29" s="3155"/>
      <c r="J29" s="3156"/>
      <c r="K29" s="3157"/>
      <c r="L29" s="3158"/>
      <c r="M29" s="3158"/>
      <c r="N29" s="3158"/>
      <c r="O29" s="3158"/>
      <c r="P29" s="3158"/>
      <c r="Q29" s="3156"/>
      <c r="R29" s="3159"/>
      <c r="S29" s="3160"/>
      <c r="T29" s="3161"/>
      <c r="U29" s="3159"/>
      <c r="V29" s="3162"/>
      <c r="W29" s="3159"/>
      <c r="X29" s="3156"/>
      <c r="Y29" s="3163"/>
      <c r="Z29" s="3164"/>
      <c r="AA29" s="3165"/>
      <c r="AB29" s="3163"/>
      <c r="AC29" s="3166"/>
      <c r="AD29" s="3163"/>
    </row>
    <row r="30" spans="1:30" s="3176" customFormat="1" ht="12.75">
      <c r="A30" s="2199" t="s">
        <v>3374</v>
      </c>
      <c r="B30" s="3168">
        <v>2025</v>
      </c>
      <c r="C30" s="3169">
        <v>1</v>
      </c>
      <c r="D30" s="3170"/>
      <c r="E30" s="3170">
        <v>0</v>
      </c>
      <c r="F30" s="3170">
        <v>0</v>
      </c>
      <c r="G30" s="3170">
        <v>0</v>
      </c>
      <c r="H30" s="3170"/>
      <c r="I30" s="3171">
        <f t="shared" ref="I30" si="69">F30</f>
        <v>0</v>
      </c>
      <c r="J30" s="3172"/>
      <c r="K30" s="3173"/>
      <c r="L30" s="3163">
        <f t="shared" ref="L30" si="70">E30/100</f>
        <v>0</v>
      </c>
      <c r="M30" s="3163">
        <f t="shared" ref="M30" si="71">F30/100</f>
        <v>0</v>
      </c>
      <c r="N30" s="3163">
        <f t="shared" ref="N30" si="72">G30/100</f>
        <v>0</v>
      </c>
      <c r="O30" s="3163"/>
      <c r="P30" s="3163">
        <f>M30</f>
        <v>0</v>
      </c>
      <c r="Q30" s="3172"/>
      <c r="R30" s="3174"/>
      <c r="S30" s="3174">
        <f>ROUND(IF(项目基本情况!$B$8="出让",SUMPRODUCT(PRODUCT(1+L30:L$46)),SUMPRODUCT(PRODUCT(1+L30:L$45))),4)</f>
        <v>1.0432999999999999</v>
      </c>
      <c r="T30" s="3174">
        <f>ROUND(IF(项目基本情况!$B$8="出让",SUMPRODUCT(PRODUCT(1+M30:M$46)),SUMPRODUCT(PRODUCT(1+M30:M$45))),4)</f>
        <v>1.0298</v>
      </c>
      <c r="U30" s="3174">
        <f>ROUND(IF(项目基本情况!$B$8="出让",SUMPRODUCT(PRODUCT(1+N30:N$46)),SUMPRODUCT(PRODUCT(1+N30:N$45))),4)</f>
        <v>1.079</v>
      </c>
      <c r="V30" s="3174"/>
      <c r="W30" s="3174">
        <f>T30</f>
        <v>1.0298</v>
      </c>
      <c r="X30" s="3172"/>
      <c r="Y30" s="3175"/>
      <c r="Z30" s="3203">
        <f t="shared" ref="Z30" si="73">IF(E30=0,0,ROUND(AVERAGE(E30:E43)/100,4))</f>
        <v>0</v>
      </c>
      <c r="AA30" s="3203">
        <f t="shared" ref="AA30" si="74">IF(F30=0,0,ROUND(AVERAGE(F30:F43)/100,4))</f>
        <v>0</v>
      </c>
      <c r="AB30" s="3203">
        <f t="shared" ref="AB30" si="75">IF(G30=0,0,ROUND(AVERAGE(G30:G43)/100,4))</f>
        <v>0</v>
      </c>
      <c r="AC30" s="3204"/>
      <c r="AD30" s="3175">
        <f>IF(I30=0,0,ROUND(AVERAGE(I30:I43)/100,4))</f>
        <v>0</v>
      </c>
    </row>
    <row r="31" spans="1:30" s="3186" customFormat="1" ht="12.75">
      <c r="A31" s="3177" t="s">
        <v>3377</v>
      </c>
      <c r="B31" s="3178">
        <v>2024</v>
      </c>
      <c r="C31" s="3179">
        <v>4</v>
      </c>
      <c r="D31" s="3180"/>
      <c r="E31" s="3180">
        <v>0</v>
      </c>
      <c r="F31" s="3180">
        <v>0</v>
      </c>
      <c r="G31" s="3180">
        <v>0</v>
      </c>
      <c r="H31" s="3181"/>
      <c r="I31" s="3182">
        <f t="shared" ref="I31" si="76">F31</f>
        <v>0</v>
      </c>
      <c r="J31" s="3183"/>
      <c r="K31" s="3184"/>
      <c r="L31" s="3185">
        <f t="shared" ref="L31" si="77">E31/100</f>
        <v>0</v>
      </c>
      <c r="M31" s="3185">
        <f t="shared" ref="M31" si="78">F31/100</f>
        <v>0</v>
      </c>
      <c r="N31" s="3185">
        <f t="shared" ref="N31" si="79">G31/100</f>
        <v>0</v>
      </c>
      <c r="O31" s="3185"/>
      <c r="P31" s="3185">
        <f>M31</f>
        <v>0</v>
      </c>
      <c r="Q31" s="3183"/>
      <c r="R31" s="3183"/>
      <c r="S31" s="3183">
        <f>ROUND(IF(项目基本情况!$B$8="出让",SUMPRODUCT(PRODUCT(1+L31:L$46)),SUMPRODUCT(PRODUCT(1+L31:L$45))),4)</f>
        <v>1.0432999999999999</v>
      </c>
      <c r="T31" s="3183">
        <f>ROUND(IF(项目基本情况!$B$8="出让",SUMPRODUCT(PRODUCT(1+M31:M$46)),SUMPRODUCT(PRODUCT(1+M31:M$45))),4)</f>
        <v>1.0298</v>
      </c>
      <c r="U31" s="3183">
        <f>ROUND(IF(项目基本情况!$B$8="出让",SUMPRODUCT(PRODUCT(1+N31:N$46)),SUMPRODUCT(PRODUCT(1+N31:N$45))),4)</f>
        <v>1.079</v>
      </c>
      <c r="V31" s="3183"/>
      <c r="W31" s="3183">
        <f>T31</f>
        <v>1.0298</v>
      </c>
      <c r="X31" s="3183"/>
      <c r="Y31" s="3185"/>
      <c r="Z31" s="3206">
        <f t="shared" ref="Z31" si="80">IF(E31=0,0,ROUND(AVERAGE(E31:E44)/100,4))</f>
        <v>0</v>
      </c>
      <c r="AA31" s="3207">
        <f t="shared" ref="AA31" si="81">IF(F31=0,0,ROUND(AVERAGE(F31:F44)/100,4))</f>
        <v>0</v>
      </c>
      <c r="AB31" s="3185">
        <f t="shared" ref="AB31" si="82">IF(G31=0,0,ROUND(AVERAGE(G31:G44)/100,4))</f>
        <v>0</v>
      </c>
      <c r="AC31" s="3208"/>
      <c r="AD31" s="3185">
        <f>IF(I31=0,0,ROUND(AVERAGE(I31:I44)/100,4))</f>
        <v>0</v>
      </c>
    </row>
    <row r="32" spans="1:30" s="3176" customFormat="1" ht="12.75">
      <c r="A32" s="2199" t="s">
        <v>3369</v>
      </c>
      <c r="B32" s="3168">
        <v>2024</v>
      </c>
      <c r="C32" s="3169">
        <v>3</v>
      </c>
      <c r="D32" s="3170"/>
      <c r="E32" s="3170">
        <v>0</v>
      </c>
      <c r="F32" s="3170">
        <v>0</v>
      </c>
      <c r="G32" s="3170">
        <v>0</v>
      </c>
      <c r="H32" s="3170"/>
      <c r="I32" s="3171">
        <f t="shared" ref="I32" si="83">F32</f>
        <v>0</v>
      </c>
      <c r="J32" s="3172"/>
      <c r="K32" s="3173"/>
      <c r="L32" s="3163">
        <f t="shared" ref="L32" si="84">E32/100</f>
        <v>0</v>
      </c>
      <c r="M32" s="3163">
        <f t="shared" ref="M32" si="85">F32/100</f>
        <v>0</v>
      </c>
      <c r="N32" s="3163">
        <f t="shared" ref="N32" si="86">G32/100</f>
        <v>0</v>
      </c>
      <c r="O32" s="3163"/>
      <c r="P32" s="3163">
        <f>M32</f>
        <v>0</v>
      </c>
      <c r="Q32" s="3172"/>
      <c r="R32" s="3174"/>
      <c r="S32" s="3174">
        <f>ROUND(IF(项目基本情况!$B$8="出让",SUMPRODUCT(PRODUCT(1+L32:L$46)),SUMPRODUCT(PRODUCT(1+L32:L$45))),4)</f>
        <v>1.0432999999999999</v>
      </c>
      <c r="T32" s="3174">
        <f>ROUND(IF(项目基本情况!$B$8="出让",SUMPRODUCT(PRODUCT(1+M32:M$46)),SUMPRODUCT(PRODUCT(1+M32:M$45))),4)</f>
        <v>1.0298</v>
      </c>
      <c r="U32" s="3174">
        <f>ROUND(IF(项目基本情况!$B$8="出让",SUMPRODUCT(PRODUCT(1+N32:N$46)),SUMPRODUCT(PRODUCT(1+N32:N$45))),4)</f>
        <v>1.079</v>
      </c>
      <c r="V32" s="3174"/>
      <c r="W32" s="3174">
        <f>T32</f>
        <v>1.0298</v>
      </c>
      <c r="X32" s="3172"/>
      <c r="Y32" s="3175"/>
      <c r="Z32" s="3203">
        <f t="shared" ref="Z32:AB33" si="87">IF(E32=0,0,ROUND(AVERAGE(E32:E45)/100,4))</f>
        <v>0</v>
      </c>
      <c r="AA32" s="3203">
        <f t="shared" si="87"/>
        <v>0</v>
      </c>
      <c r="AB32" s="3203">
        <f t="shared" si="87"/>
        <v>0</v>
      </c>
      <c r="AC32" s="3204"/>
      <c r="AD32" s="3175">
        <f>IF(I32=0,0,ROUND(AVERAGE(I32:I45)/100,4))</f>
        <v>0</v>
      </c>
    </row>
    <row r="33" spans="1:30" s="3176" customFormat="1" ht="12.75">
      <c r="A33" s="3167" t="s">
        <v>3378</v>
      </c>
      <c r="B33" s="3168">
        <v>2024</v>
      </c>
      <c r="C33" s="3169">
        <v>2</v>
      </c>
      <c r="D33" s="3170"/>
      <c r="E33" s="3170">
        <v>-0.31</v>
      </c>
      <c r="F33" s="3170">
        <v>-0.39</v>
      </c>
      <c r="G33" s="3170">
        <v>1.23</v>
      </c>
      <c r="H33" s="3187"/>
      <c r="I33" s="3171">
        <f t="shared" ref="I33:I46" si="88">F33</f>
        <v>-0.39</v>
      </c>
      <c r="J33" s="3172"/>
      <c r="K33" s="3173"/>
      <c r="L33" s="3163">
        <f t="shared" ref="L33:N46" si="89">E33/100</f>
        <v>-3.0999999999999999E-3</v>
      </c>
      <c r="M33" s="3163">
        <f t="shared" si="89"/>
        <v>-3.9000000000000003E-3</v>
      </c>
      <c r="N33" s="3163">
        <f t="shared" si="89"/>
        <v>1.23E-2</v>
      </c>
      <c r="O33" s="3163"/>
      <c r="P33" s="3163">
        <f>M33</f>
        <v>-3.9000000000000003E-3</v>
      </c>
      <c r="Q33" s="3172"/>
      <c r="R33" s="3174"/>
      <c r="S33" s="3174">
        <f>ROUND(IF(项目基本情况!$B$8="出让",SUMPRODUCT(PRODUCT(1+L33:L$46)),SUMPRODUCT(PRODUCT(1+L33:L$45))),4)</f>
        <v>1.0432999999999999</v>
      </c>
      <c r="T33" s="3174">
        <f>ROUND(IF(项目基本情况!$B$8="出让",SUMPRODUCT(PRODUCT(1+M33:M$46)),SUMPRODUCT(PRODUCT(1+M33:M$45))),4)</f>
        <v>1.0298</v>
      </c>
      <c r="U33" s="3174">
        <f>ROUND(IF(项目基本情况!$B$8="出让",SUMPRODUCT(PRODUCT(1+N33:N$46)),SUMPRODUCT(PRODUCT(1+N33:N$45))),4)</f>
        <v>1.079</v>
      </c>
      <c r="V33" s="3174"/>
      <c r="W33" s="3174">
        <f>T33</f>
        <v>1.0298</v>
      </c>
      <c r="X33" s="3172"/>
      <c r="Y33" s="3175"/>
      <c r="Z33" s="3203">
        <f t="shared" si="87"/>
        <v>3.3E-3</v>
      </c>
      <c r="AA33" s="3205">
        <f t="shared" si="87"/>
        <v>2.3999999999999998E-3</v>
      </c>
      <c r="AB33" s="3175">
        <f t="shared" si="87"/>
        <v>6.1999999999999998E-3</v>
      </c>
      <c r="AC33" s="3204"/>
      <c r="AD33" s="3175">
        <f>IF(I33=0,0,ROUND(AVERAGE(I33:I46)/100,4))</f>
        <v>2.3999999999999998E-3</v>
      </c>
    </row>
    <row r="34" spans="1:30" s="3176" customFormat="1" ht="12.75">
      <c r="A34" s="3167" t="s">
        <v>3370</v>
      </c>
      <c r="B34" s="3168">
        <v>2024</v>
      </c>
      <c r="C34" s="3169">
        <v>1</v>
      </c>
      <c r="D34" s="3170"/>
      <c r="E34" s="3170">
        <v>0.25</v>
      </c>
      <c r="F34" s="3170">
        <v>0.4</v>
      </c>
      <c r="G34" s="3170">
        <v>-0.63</v>
      </c>
      <c r="H34" s="3187"/>
      <c r="I34" s="3171">
        <f t="shared" ref="I34:I35" si="90">F34</f>
        <v>0.4</v>
      </c>
      <c r="J34" s="3172"/>
      <c r="K34" s="3173"/>
      <c r="L34" s="3163">
        <f t="shared" ref="L34" si="91">E34/100</f>
        <v>2.5000000000000001E-3</v>
      </c>
      <c r="M34" s="3163">
        <f t="shared" ref="M34" si="92">F34/100</f>
        <v>4.0000000000000001E-3</v>
      </c>
      <c r="N34" s="3163">
        <f t="shared" ref="N34" si="93">G34/100</f>
        <v>-6.3E-3</v>
      </c>
      <c r="O34" s="3163"/>
      <c r="P34" s="3163">
        <f t="shared" ref="P34" si="94">M34</f>
        <v>4.0000000000000001E-3</v>
      </c>
      <c r="Q34" s="3172"/>
      <c r="R34" s="3174"/>
      <c r="S34" s="3174">
        <f>ROUND(IF(项目基本情况!$B$8="出让",SUMPRODUCT(PRODUCT(1+L34:L$46)),SUMPRODUCT(PRODUCT(1+L34:L$45))),4)</f>
        <v>1.0465</v>
      </c>
      <c r="T34" s="3174">
        <f>ROUND(IF(项目基本情况!$B$8="出让",SUMPRODUCT(PRODUCT(1+M34:M$46)),SUMPRODUCT(PRODUCT(1+M34:M$45))),4)</f>
        <v>1.0338000000000001</v>
      </c>
      <c r="U34" s="3174">
        <f>ROUND(IF(项目基本情况!$B$8="出让",SUMPRODUCT(PRODUCT(1+N34:N$46)),SUMPRODUCT(PRODUCT(1+N34:N$45))),4)</f>
        <v>1.0659000000000001</v>
      </c>
      <c r="V34" s="3174"/>
      <c r="W34" s="3174">
        <f t="shared" ref="W34" si="95">T34</f>
        <v>1.0338000000000001</v>
      </c>
      <c r="X34" s="3172"/>
      <c r="Y34" s="3175"/>
      <c r="Z34" s="3203"/>
      <c r="AA34" s="3205"/>
      <c r="AB34" s="3175"/>
      <c r="AC34" s="3204"/>
      <c r="AD34" s="3175"/>
    </row>
    <row r="35" spans="1:30" s="3176" customFormat="1" ht="12.75">
      <c r="A35" s="3167" t="s">
        <v>3368</v>
      </c>
      <c r="B35" s="3168">
        <v>2023</v>
      </c>
      <c r="C35" s="3169">
        <v>4</v>
      </c>
      <c r="D35" s="3170"/>
      <c r="E35" s="3170">
        <v>7.0000000000000007E-2</v>
      </c>
      <c r="F35" s="3170">
        <v>0.09</v>
      </c>
      <c r="G35" s="3170">
        <v>0.03</v>
      </c>
      <c r="H35" s="3187"/>
      <c r="I35" s="3171">
        <f t="shared" si="90"/>
        <v>0.09</v>
      </c>
      <c r="J35" s="3172"/>
      <c r="K35" s="3173"/>
      <c r="L35" s="3163">
        <f t="shared" si="89"/>
        <v>7.000000000000001E-4</v>
      </c>
      <c r="M35" s="3163">
        <f t="shared" si="89"/>
        <v>8.9999999999999998E-4</v>
      </c>
      <c r="N35" s="3163">
        <f t="shared" si="89"/>
        <v>2.9999999999999997E-4</v>
      </c>
      <c r="O35" s="3163"/>
      <c r="P35" s="3163">
        <f t="shared" ref="P35" si="96">M35</f>
        <v>8.9999999999999998E-4</v>
      </c>
      <c r="Q35" s="3172"/>
      <c r="R35" s="3174"/>
      <c r="S35" s="3174">
        <f>ROUND(IF(项目基本情况!$B$8="出让",SUMPRODUCT(PRODUCT(1+L35:L$46)),SUMPRODUCT(PRODUCT(1+L35:L$45))),4)</f>
        <v>1.0439000000000001</v>
      </c>
      <c r="T35" s="3174">
        <f>ROUND(IF(项目基本情况!$B$8="出让",SUMPRODUCT(PRODUCT(1+M35:M$46)),SUMPRODUCT(PRODUCT(1+M35:M$45))),4)</f>
        <v>1.0297000000000001</v>
      </c>
      <c r="U35" s="3174">
        <f>ROUND(IF(项目基本情况!$B$8="出让",SUMPRODUCT(PRODUCT(1+N35:N$46)),SUMPRODUCT(PRODUCT(1+N35:N$45))),4)</f>
        <v>1.0727</v>
      </c>
      <c r="V35" s="3174"/>
      <c r="W35" s="3174">
        <f t="shared" ref="W35" si="97">T35</f>
        <v>1.0297000000000001</v>
      </c>
      <c r="X35" s="3172"/>
      <c r="Y35" s="3175"/>
      <c r="Z35" s="3203"/>
      <c r="AA35" s="3205"/>
      <c r="AB35" s="3175"/>
      <c r="AC35" s="3204"/>
      <c r="AD35" s="3175"/>
    </row>
    <row r="36" spans="1:30" s="3176" customFormat="1" ht="12.75">
      <c r="A36" s="3167" t="s">
        <v>3366</v>
      </c>
      <c r="B36" s="3168">
        <v>2023</v>
      </c>
      <c r="C36" s="3169">
        <v>3</v>
      </c>
      <c r="D36" s="3170"/>
      <c r="E36" s="3170">
        <v>0.35</v>
      </c>
      <c r="F36" s="3170">
        <v>0.17</v>
      </c>
      <c r="G36" s="3170">
        <v>0.52</v>
      </c>
      <c r="H36" s="3187"/>
      <c r="I36" s="3171">
        <f t="shared" si="88"/>
        <v>0.17</v>
      </c>
      <c r="J36" s="3172"/>
      <c r="K36" s="3173"/>
      <c r="L36" s="3163">
        <f t="shared" ref="L36:L38" si="98">E36/100</f>
        <v>3.4999999999999996E-3</v>
      </c>
      <c r="M36" s="3163">
        <f t="shared" ref="M36:M38" si="99">F36/100</f>
        <v>1.7000000000000001E-3</v>
      </c>
      <c r="N36" s="3163">
        <f t="shared" ref="N36:N38" si="100">G36/100</f>
        <v>5.1999999999999998E-3</v>
      </c>
      <c r="O36" s="3163"/>
      <c r="P36" s="3163">
        <f t="shared" ref="P36:P38" si="101">M36</f>
        <v>1.7000000000000001E-3</v>
      </c>
      <c r="Q36" s="3172"/>
      <c r="R36" s="3174"/>
      <c r="S36" s="3174">
        <f>ROUND(IF(项目基本情况!$B$8="出让",SUMPRODUCT(PRODUCT(1+L36:L$46)),SUMPRODUCT(PRODUCT(1+L36:L$45))),4)</f>
        <v>1.0431999999999999</v>
      </c>
      <c r="T36" s="3174">
        <f>ROUND(IF(项目基本情况!$B$8="出让",SUMPRODUCT(PRODUCT(1+M36:M$46)),SUMPRODUCT(PRODUCT(1+M36:M$45))),4)</f>
        <v>1.0286999999999999</v>
      </c>
      <c r="U36" s="3174">
        <f>ROUND(IF(项目基本情况!$B$8="出让",SUMPRODUCT(PRODUCT(1+N36:N$46)),SUMPRODUCT(PRODUCT(1+N36:N$45))),4)</f>
        <v>1.0723</v>
      </c>
      <c r="V36" s="3174"/>
      <c r="W36" s="3174">
        <f t="shared" ref="W36:W38" si="102">T36</f>
        <v>1.0286999999999999</v>
      </c>
      <c r="X36" s="3172"/>
      <c r="Y36" s="3175"/>
      <c r="Z36" s="3203"/>
      <c r="AA36" s="3205"/>
      <c r="AB36" s="3175"/>
      <c r="AC36" s="3204"/>
      <c r="AD36" s="3175"/>
    </row>
    <row r="37" spans="1:30" s="3176" customFormat="1" ht="12.75">
      <c r="A37" s="3167" t="s">
        <v>3365</v>
      </c>
      <c r="B37" s="3168">
        <v>2023</v>
      </c>
      <c r="C37" s="3169">
        <v>2</v>
      </c>
      <c r="D37" s="3170"/>
      <c r="E37" s="3170">
        <v>0.5</v>
      </c>
      <c r="F37" s="3170">
        <v>0.45</v>
      </c>
      <c r="G37" s="3170">
        <v>0.89</v>
      </c>
      <c r="H37" s="3187"/>
      <c r="I37" s="3171">
        <f t="shared" si="88"/>
        <v>0.45</v>
      </c>
      <c r="J37" s="3172"/>
      <c r="K37" s="3173"/>
      <c r="L37" s="3163">
        <f t="shared" si="98"/>
        <v>5.0000000000000001E-3</v>
      </c>
      <c r="M37" s="3163">
        <f t="shared" si="99"/>
        <v>4.5000000000000005E-3</v>
      </c>
      <c r="N37" s="3163">
        <f t="shared" si="100"/>
        <v>8.8999999999999999E-3</v>
      </c>
      <c r="O37" s="3163"/>
      <c r="P37" s="3163">
        <f t="shared" si="101"/>
        <v>4.5000000000000005E-3</v>
      </c>
      <c r="Q37" s="3172"/>
      <c r="R37" s="3174"/>
      <c r="S37" s="3174">
        <f>ROUND(IF(项目基本情况!$B$8="出让",SUMPRODUCT(PRODUCT(1+L37:L$46)),SUMPRODUCT(PRODUCT(1+L37:L$45))),4)</f>
        <v>1.0396000000000001</v>
      </c>
      <c r="T37" s="3174">
        <f>ROUND(IF(项目基本情况!$B$8="出让",SUMPRODUCT(PRODUCT(1+M37:M$46)),SUMPRODUCT(PRODUCT(1+M37:M$45))),4)</f>
        <v>1.0269999999999999</v>
      </c>
      <c r="U37" s="3174">
        <f>ROUND(IF(项目基本情况!$B$8="出让",SUMPRODUCT(PRODUCT(1+N37:N$46)),SUMPRODUCT(PRODUCT(1+N37:N$45))),4)</f>
        <v>1.0668</v>
      </c>
      <c r="V37" s="3174"/>
      <c r="W37" s="3174">
        <f t="shared" si="102"/>
        <v>1.0269999999999999</v>
      </c>
      <c r="X37" s="3172"/>
      <c r="Y37" s="3175"/>
      <c r="Z37" s="3203"/>
      <c r="AA37" s="3205"/>
      <c r="AB37" s="3175"/>
      <c r="AC37" s="3204"/>
      <c r="AD37" s="3175"/>
    </row>
    <row r="38" spans="1:30" s="3176" customFormat="1" ht="12.75">
      <c r="A38" s="3167" t="s">
        <v>3361</v>
      </c>
      <c r="B38" s="3168">
        <v>2023</v>
      </c>
      <c r="C38" s="3169">
        <v>1</v>
      </c>
      <c r="D38" s="3170"/>
      <c r="E38" s="3170">
        <v>0.55000000000000004</v>
      </c>
      <c r="F38" s="3170">
        <v>0.59</v>
      </c>
      <c r="G38" s="3170">
        <v>0.64</v>
      </c>
      <c r="H38" s="3187"/>
      <c r="I38" s="3171">
        <f t="shared" si="88"/>
        <v>0.59</v>
      </c>
      <c r="J38" s="3172"/>
      <c r="K38" s="3173"/>
      <c r="L38" s="3163">
        <f t="shared" si="98"/>
        <v>5.5000000000000005E-3</v>
      </c>
      <c r="M38" s="3163">
        <f t="shared" si="99"/>
        <v>5.8999999999999999E-3</v>
      </c>
      <c r="N38" s="3163">
        <f t="shared" si="100"/>
        <v>6.4000000000000003E-3</v>
      </c>
      <c r="O38" s="3163"/>
      <c r="P38" s="3163">
        <f t="shared" si="101"/>
        <v>5.8999999999999999E-3</v>
      </c>
      <c r="Q38" s="3172"/>
      <c r="R38" s="3174"/>
      <c r="S38" s="3174">
        <f>ROUND(IF(项目基本情况!$B$8="出让",SUMPRODUCT(PRODUCT(1+L38:L$46)),SUMPRODUCT(PRODUCT(1+L38:L$45))),4)</f>
        <v>1.0344</v>
      </c>
      <c r="T38" s="3174">
        <f>ROUND(IF(项目基本情况!$B$8="出让",SUMPRODUCT(PRODUCT(1+M38:M$46)),SUMPRODUCT(PRODUCT(1+M38:M$45))),4)</f>
        <v>1.0224</v>
      </c>
      <c r="U38" s="3174">
        <f>ROUND(IF(项目基本情况!$B$8="出让",SUMPRODUCT(PRODUCT(1+N38:N$46)),SUMPRODUCT(PRODUCT(1+N38:N$45))),4)</f>
        <v>1.0573999999999999</v>
      </c>
      <c r="V38" s="3174"/>
      <c r="W38" s="3174">
        <f t="shared" si="102"/>
        <v>1.0224</v>
      </c>
      <c r="X38" s="3172"/>
      <c r="Y38" s="3175"/>
      <c r="Z38" s="3203"/>
      <c r="AA38" s="3205"/>
      <c r="AB38" s="3175"/>
      <c r="AC38" s="3204"/>
      <c r="AD38" s="3175"/>
    </row>
    <row r="39" spans="1:30" s="3176" customFormat="1" ht="12.75">
      <c r="A39" s="3167" t="s">
        <v>3360</v>
      </c>
      <c r="B39" s="3168">
        <v>2022</v>
      </c>
      <c r="C39" s="3169">
        <v>4</v>
      </c>
      <c r="D39" s="3170"/>
      <c r="E39" s="3170">
        <v>0.45</v>
      </c>
      <c r="F39" s="3170">
        <v>0.2</v>
      </c>
      <c r="G39" s="3170">
        <v>0.38</v>
      </c>
      <c r="H39" s="3187"/>
      <c r="I39" s="3171">
        <f t="shared" si="88"/>
        <v>0.2</v>
      </c>
      <c r="J39" s="3172"/>
      <c r="K39" s="3173"/>
      <c r="L39" s="3163">
        <f t="shared" si="89"/>
        <v>4.5000000000000005E-3</v>
      </c>
      <c r="M39" s="3163">
        <f t="shared" si="89"/>
        <v>2E-3</v>
      </c>
      <c r="N39" s="3163">
        <f t="shared" si="89"/>
        <v>3.8E-3</v>
      </c>
      <c r="O39" s="3163"/>
      <c r="P39" s="3163">
        <f t="shared" ref="P39:P46" si="103">M39</f>
        <v>2E-3</v>
      </c>
      <c r="Q39" s="3172"/>
      <c r="R39" s="3174"/>
      <c r="S39" s="3174">
        <f>ROUND(IF(项目基本情况!$B$8="出让",SUMPRODUCT(PRODUCT(1+L39:L$46)),SUMPRODUCT(PRODUCT(1+L39:L$45))),4)</f>
        <v>1.0286999999999999</v>
      </c>
      <c r="T39" s="3174">
        <f>ROUND(IF(项目基本情况!$B$8="出让",SUMPRODUCT(PRODUCT(1+M39:M$46)),SUMPRODUCT(PRODUCT(1+M39:M$45))),4)</f>
        <v>1.0164</v>
      </c>
      <c r="U39" s="3174">
        <f>ROUND(IF(项目基本情况!$B$8="出让",SUMPRODUCT(PRODUCT(1+N39:N$46)),SUMPRODUCT(PRODUCT(1+N39:N$45))),4)</f>
        <v>1.0506</v>
      </c>
      <c r="V39" s="3174"/>
      <c r="W39" s="3174">
        <f t="shared" ref="W39:W46" si="104">T39</f>
        <v>1.0164</v>
      </c>
      <c r="X39" s="3172"/>
      <c r="Y39" s="3175"/>
      <c r="Z39" s="3203">
        <f t="shared" ref="Z39:AD46" si="105">IF(E39=0,0,ROUND(AVERAGE(E39:E47)/100,4))</f>
        <v>4.0000000000000001E-3</v>
      </c>
      <c r="AA39" s="3205">
        <f t="shared" si="105"/>
        <v>2.5999999999999999E-3</v>
      </c>
      <c r="AB39" s="3175">
        <f t="shared" si="105"/>
        <v>7.4000000000000003E-3</v>
      </c>
      <c r="AC39" s="3204"/>
      <c r="AD39" s="3175">
        <f t="shared" si="105"/>
        <v>2.5999999999999999E-3</v>
      </c>
    </row>
    <row r="40" spans="1:30" s="3176" customFormat="1" ht="12.75">
      <c r="A40" s="3167" t="s">
        <v>3357</v>
      </c>
      <c r="B40" s="3168">
        <v>2022</v>
      </c>
      <c r="C40" s="3169">
        <v>3</v>
      </c>
      <c r="D40" s="3170"/>
      <c r="E40" s="3170">
        <v>0.3</v>
      </c>
      <c r="F40" s="3170">
        <v>0.28999999999999998</v>
      </c>
      <c r="G40" s="3170">
        <v>0.83</v>
      </c>
      <c r="H40" s="3187"/>
      <c r="I40" s="3171">
        <f t="shared" si="88"/>
        <v>0.28999999999999998</v>
      </c>
      <c r="J40" s="3172"/>
      <c r="K40" s="3173"/>
      <c r="L40" s="3163">
        <f t="shared" si="89"/>
        <v>3.0000000000000001E-3</v>
      </c>
      <c r="M40" s="3163">
        <f t="shared" si="89"/>
        <v>2.8999999999999998E-3</v>
      </c>
      <c r="N40" s="3163">
        <f t="shared" si="89"/>
        <v>8.3000000000000001E-3</v>
      </c>
      <c r="O40" s="3163"/>
      <c r="P40" s="3163">
        <f t="shared" si="103"/>
        <v>2.8999999999999998E-3</v>
      </c>
      <c r="Q40" s="3172"/>
      <c r="R40" s="3174"/>
      <c r="S40" s="3174">
        <f>ROUND(IF(项目基本情况!$B$8="出让",SUMPRODUCT(PRODUCT(1+L40:L$46)),SUMPRODUCT(PRODUCT(1+L40:L$45))),4)</f>
        <v>1.0241</v>
      </c>
      <c r="T40" s="3174">
        <f>ROUND(IF(项目基本情况!$B$8="出让",SUMPRODUCT(PRODUCT(1+M40:M$46)),SUMPRODUCT(PRODUCT(1+M40:M$45))),4)</f>
        <v>1.0144</v>
      </c>
      <c r="U40" s="3174">
        <f>ROUND(IF(项目基本情况!$B$8="出让",SUMPRODUCT(PRODUCT(1+N40:N$46)),SUMPRODUCT(PRODUCT(1+N40:N$45))),4)</f>
        <v>1.0467</v>
      </c>
      <c r="V40" s="3174"/>
      <c r="W40" s="3174">
        <f t="shared" si="104"/>
        <v>1.0144</v>
      </c>
      <c r="X40" s="3172"/>
      <c r="Y40" s="3175"/>
      <c r="Z40" s="3203">
        <f t="shared" si="105"/>
        <v>3.8999999999999998E-3</v>
      </c>
      <c r="AA40" s="3205">
        <f t="shared" si="105"/>
        <v>2.7000000000000001E-3</v>
      </c>
      <c r="AB40" s="3175">
        <f t="shared" si="105"/>
        <v>7.9000000000000008E-3</v>
      </c>
      <c r="AC40" s="3204"/>
      <c r="AD40" s="3175">
        <f t="shared" si="105"/>
        <v>2.7000000000000001E-3</v>
      </c>
    </row>
    <row r="41" spans="1:30" s="3176" customFormat="1" ht="12.75">
      <c r="A41" s="3167" t="s">
        <v>3347</v>
      </c>
      <c r="B41" s="3168">
        <v>2022</v>
      </c>
      <c r="C41" s="3169">
        <v>2</v>
      </c>
      <c r="D41" s="3170"/>
      <c r="E41" s="3170">
        <v>-0.11</v>
      </c>
      <c r="F41" s="3170">
        <v>-0.13</v>
      </c>
      <c r="G41" s="3170">
        <v>0.53</v>
      </c>
      <c r="H41" s="3187"/>
      <c r="I41" s="3171">
        <f t="shared" si="88"/>
        <v>-0.13</v>
      </c>
      <c r="J41" s="3172"/>
      <c r="K41" s="3173"/>
      <c r="L41" s="3163">
        <f t="shared" si="89"/>
        <v>-1.1000000000000001E-3</v>
      </c>
      <c r="M41" s="3163">
        <f t="shared" si="89"/>
        <v>-1.2999999999999999E-3</v>
      </c>
      <c r="N41" s="3163">
        <f t="shared" si="89"/>
        <v>5.3E-3</v>
      </c>
      <c r="O41" s="3163"/>
      <c r="P41" s="3163">
        <f t="shared" si="103"/>
        <v>-1.2999999999999999E-3</v>
      </c>
      <c r="Q41" s="3172"/>
      <c r="R41" s="3174"/>
      <c r="S41" s="3174">
        <f>ROUND(IF(项目基本情况!$B$8="出让",SUMPRODUCT(PRODUCT(1+L41:L$46)),SUMPRODUCT(PRODUCT(1+L41:L$45))),4)</f>
        <v>1.0210999999999999</v>
      </c>
      <c r="T41" s="3174">
        <f>ROUND(IF(项目基本情况!$B$8="出让",SUMPRODUCT(PRODUCT(1+M41:M$46)),SUMPRODUCT(PRODUCT(1+M41:M$45))),4)</f>
        <v>1.0114000000000001</v>
      </c>
      <c r="U41" s="3174">
        <f>ROUND(IF(项目基本情况!$B$8="出让",SUMPRODUCT(PRODUCT(1+N41:N$46)),SUMPRODUCT(PRODUCT(1+N41:N$45))),4)</f>
        <v>1.0381</v>
      </c>
      <c r="V41" s="3174"/>
      <c r="W41" s="3174">
        <f t="shared" si="104"/>
        <v>1.0114000000000001</v>
      </c>
      <c r="X41" s="3172"/>
      <c r="Y41" s="3175"/>
      <c r="Z41" s="3203">
        <f t="shared" si="105"/>
        <v>4.1000000000000003E-3</v>
      </c>
      <c r="AA41" s="3205">
        <f t="shared" si="105"/>
        <v>2.7000000000000001E-3</v>
      </c>
      <c r="AB41" s="3175">
        <f t="shared" si="105"/>
        <v>7.9000000000000008E-3</v>
      </c>
      <c r="AC41" s="3204"/>
      <c r="AD41" s="3175">
        <f t="shared" si="105"/>
        <v>2.7000000000000001E-3</v>
      </c>
    </row>
    <row r="42" spans="1:30" s="3176" customFormat="1" ht="12.75">
      <c r="A42" s="3167" t="s">
        <v>2828</v>
      </c>
      <c r="B42" s="3168">
        <v>2022</v>
      </c>
      <c r="C42" s="3169">
        <v>1</v>
      </c>
      <c r="D42" s="3170"/>
      <c r="E42" s="3170">
        <v>0.6</v>
      </c>
      <c r="F42" s="3170">
        <v>0.45</v>
      </c>
      <c r="G42" s="3170">
        <v>0.53</v>
      </c>
      <c r="H42" s="3187"/>
      <c r="I42" s="3171">
        <f t="shared" si="88"/>
        <v>0.45</v>
      </c>
      <c r="J42" s="3172"/>
      <c r="K42" s="3173"/>
      <c r="L42" s="3163">
        <f t="shared" si="89"/>
        <v>6.0000000000000001E-3</v>
      </c>
      <c r="M42" s="3163">
        <f t="shared" si="89"/>
        <v>4.5000000000000005E-3</v>
      </c>
      <c r="N42" s="3163">
        <f t="shared" si="89"/>
        <v>5.3E-3</v>
      </c>
      <c r="O42" s="3163"/>
      <c r="P42" s="3163">
        <f t="shared" si="103"/>
        <v>4.5000000000000005E-3</v>
      </c>
      <c r="Q42" s="3172"/>
      <c r="R42" s="3174"/>
      <c r="S42" s="3174">
        <f>ROUND(IF(项目基本情况!$B$8="出让",SUMPRODUCT(PRODUCT(1+L42:L$46)),SUMPRODUCT(PRODUCT(1+L42:L$45))),4)</f>
        <v>1.0222</v>
      </c>
      <c r="T42" s="3174">
        <f>ROUND(IF(项目基本情况!$B$8="出让",SUMPRODUCT(PRODUCT(1+M42:M$46)),SUMPRODUCT(PRODUCT(1+M42:M$45))),4)</f>
        <v>1.0127999999999999</v>
      </c>
      <c r="U42" s="3174">
        <f>ROUND(IF(项目基本情况!$B$8="出让",SUMPRODUCT(PRODUCT(1+N42:N$46)),SUMPRODUCT(PRODUCT(1+N42:N$45))),4)</f>
        <v>1.0326</v>
      </c>
      <c r="V42" s="3174"/>
      <c r="W42" s="3174">
        <f t="shared" si="104"/>
        <v>1.0127999999999999</v>
      </c>
      <c r="X42" s="3172"/>
      <c r="Y42" s="3175"/>
      <c r="Z42" s="3203">
        <f t="shared" si="105"/>
        <v>5.1000000000000004E-3</v>
      </c>
      <c r="AA42" s="3205">
        <f t="shared" si="105"/>
        <v>3.5000000000000001E-3</v>
      </c>
      <c r="AB42" s="3175">
        <f t="shared" si="105"/>
        <v>8.3999999999999995E-3</v>
      </c>
      <c r="AC42" s="3204"/>
      <c r="AD42" s="3175">
        <f t="shared" si="105"/>
        <v>3.5000000000000001E-3</v>
      </c>
    </row>
    <row r="43" spans="1:30" s="3176" customFormat="1" ht="12.75">
      <c r="A43" s="3167" t="s">
        <v>2829</v>
      </c>
      <c r="B43" s="3168">
        <v>2021</v>
      </c>
      <c r="C43" s="3169">
        <v>4</v>
      </c>
      <c r="D43" s="3170"/>
      <c r="E43" s="3170">
        <v>0.57999999999999996</v>
      </c>
      <c r="F43" s="3170">
        <v>0.08</v>
      </c>
      <c r="G43" s="3170">
        <v>0.68</v>
      </c>
      <c r="H43" s="3187"/>
      <c r="I43" s="3171">
        <f t="shared" si="88"/>
        <v>0.08</v>
      </c>
      <c r="J43" s="3172"/>
      <c r="K43" s="3173"/>
      <c r="L43" s="3163">
        <f t="shared" si="89"/>
        <v>5.7999999999999996E-3</v>
      </c>
      <c r="M43" s="3163">
        <f t="shared" si="89"/>
        <v>8.0000000000000004E-4</v>
      </c>
      <c r="N43" s="3163">
        <f t="shared" si="89"/>
        <v>6.8000000000000005E-3</v>
      </c>
      <c r="O43" s="3163"/>
      <c r="P43" s="3163">
        <f t="shared" si="103"/>
        <v>8.0000000000000004E-4</v>
      </c>
      <c r="Q43" s="3172"/>
      <c r="R43" s="3174"/>
      <c r="S43" s="3174">
        <f>ROUND(IF(项目基本情况!$B$8="出让",SUMPRODUCT(PRODUCT(1+L43:L$46)),SUMPRODUCT(PRODUCT(1+L43:L$45))),4)</f>
        <v>1.0161</v>
      </c>
      <c r="T43" s="3174">
        <f>ROUND(IF(项目基本情况!$B$8="出让",SUMPRODUCT(PRODUCT(1+M43:M$46)),SUMPRODUCT(PRODUCT(1+M43:M$45))),4)</f>
        <v>1.0082</v>
      </c>
      <c r="U43" s="3174">
        <f>ROUND(IF(项目基本情况!$B$8="出让",SUMPRODUCT(PRODUCT(1+N43:N$46)),SUMPRODUCT(PRODUCT(1+N43:N$45))),4)</f>
        <v>1.0270999999999999</v>
      </c>
      <c r="V43" s="3174"/>
      <c r="W43" s="3174">
        <f t="shared" si="104"/>
        <v>1.0082</v>
      </c>
      <c r="X43" s="3172"/>
      <c r="Y43" s="3175"/>
      <c r="Z43" s="3203">
        <f t="shared" si="105"/>
        <v>4.8999999999999998E-3</v>
      </c>
      <c r="AA43" s="3205">
        <f t="shared" si="105"/>
        <v>3.3E-3</v>
      </c>
      <c r="AB43" s="3175">
        <f t="shared" si="105"/>
        <v>9.1999999999999998E-3</v>
      </c>
      <c r="AC43" s="3204"/>
      <c r="AD43" s="3175">
        <f t="shared" si="105"/>
        <v>3.3E-3</v>
      </c>
    </row>
    <row r="44" spans="1:30" s="3176" customFormat="1" ht="12.75">
      <c r="A44" s="3167" t="s">
        <v>2830</v>
      </c>
      <c r="B44" s="3168">
        <v>2021</v>
      </c>
      <c r="C44" s="3169">
        <v>3</v>
      </c>
      <c r="D44" s="3170"/>
      <c r="E44" s="3170">
        <v>0.47</v>
      </c>
      <c r="F44" s="3170">
        <v>0.28000000000000003</v>
      </c>
      <c r="G44" s="3170">
        <v>0.91</v>
      </c>
      <c r="H44" s="3187"/>
      <c r="I44" s="3171">
        <f t="shared" si="88"/>
        <v>0.28000000000000003</v>
      </c>
      <c r="J44" s="3172"/>
      <c r="K44" s="3173"/>
      <c r="L44" s="3163">
        <f t="shared" si="89"/>
        <v>4.6999999999999993E-3</v>
      </c>
      <c r="M44" s="3163">
        <f t="shared" si="89"/>
        <v>2.8000000000000004E-3</v>
      </c>
      <c r="N44" s="3163">
        <f t="shared" si="89"/>
        <v>9.1000000000000004E-3</v>
      </c>
      <c r="O44" s="3163"/>
      <c r="P44" s="3163">
        <f t="shared" si="103"/>
        <v>2.8000000000000004E-3</v>
      </c>
      <c r="Q44" s="3172"/>
      <c r="R44" s="3174"/>
      <c r="S44" s="3174">
        <f>ROUND(IF(项目基本情况!$B$8="出让",SUMPRODUCT(PRODUCT(1+L44:L$46)),SUMPRODUCT(PRODUCT(1+L44:L$45))),4)</f>
        <v>1.0102</v>
      </c>
      <c r="T44" s="3174">
        <f>ROUND(IF(项目基本情况!$B$8="出让",SUMPRODUCT(PRODUCT(1+M44:M$46)),SUMPRODUCT(PRODUCT(1+M44:M$45))),4)</f>
        <v>1.0074000000000001</v>
      </c>
      <c r="U44" s="3174">
        <f>ROUND(IF(项目基本情况!$B$8="出让",SUMPRODUCT(PRODUCT(1+N44:N$46)),SUMPRODUCT(PRODUCT(1+N44:N$45))),4)</f>
        <v>1.0202</v>
      </c>
      <c r="V44" s="3174"/>
      <c r="W44" s="3174">
        <f t="shared" si="104"/>
        <v>1.0074000000000001</v>
      </c>
      <c r="X44" s="3172"/>
      <c r="Y44" s="3175"/>
      <c r="Z44" s="3203">
        <f t="shared" si="105"/>
        <v>4.5999999999999999E-3</v>
      </c>
      <c r="AA44" s="3205">
        <f t="shared" si="105"/>
        <v>4.1000000000000003E-3</v>
      </c>
      <c r="AB44" s="3175">
        <f t="shared" si="105"/>
        <v>0.01</v>
      </c>
      <c r="AC44" s="3204"/>
      <c r="AD44" s="3175">
        <f t="shared" si="105"/>
        <v>4.1000000000000003E-3</v>
      </c>
    </row>
    <row r="45" spans="1:30" s="3176" customFormat="1" ht="12.75">
      <c r="A45" s="3167" t="s">
        <v>2831</v>
      </c>
      <c r="B45" s="3168">
        <v>2021</v>
      </c>
      <c r="C45" s="3169">
        <v>2</v>
      </c>
      <c r="D45" s="3170"/>
      <c r="E45" s="3170">
        <v>0.55000000000000004</v>
      </c>
      <c r="F45" s="3170">
        <v>0.46</v>
      </c>
      <c r="G45" s="3170">
        <v>1.1000000000000001</v>
      </c>
      <c r="H45" s="3187"/>
      <c r="I45" s="3171">
        <f t="shared" si="88"/>
        <v>0.46</v>
      </c>
      <c r="J45" s="3172"/>
      <c r="K45" s="3173"/>
      <c r="L45" s="3163">
        <f t="shared" si="89"/>
        <v>5.5000000000000005E-3</v>
      </c>
      <c r="M45" s="3163">
        <f t="shared" si="89"/>
        <v>4.5999999999999999E-3</v>
      </c>
      <c r="N45" s="3163">
        <f t="shared" si="89"/>
        <v>1.1000000000000001E-2</v>
      </c>
      <c r="O45" s="3163"/>
      <c r="P45" s="3163">
        <f t="shared" si="103"/>
        <v>4.5999999999999999E-3</v>
      </c>
      <c r="Q45" s="3172"/>
      <c r="R45" s="3174"/>
      <c r="S45" s="3174">
        <f>ROUND(IF(项目基本情况!$B$8="出让",SUMPRODUCT(PRODUCT(1+L45:L$46)),SUMPRODUCT(PRODUCT(1+L45:L$45))),4)</f>
        <v>1.0055000000000001</v>
      </c>
      <c r="T45" s="3174">
        <f>ROUND(IF(项目基本情况!$B$8="出让",SUMPRODUCT(PRODUCT(1+M45:M$46)),SUMPRODUCT(PRODUCT(1+M45:M$45))),4)</f>
        <v>1.0045999999999999</v>
      </c>
      <c r="U45" s="3174">
        <f>ROUND(IF(项目基本情况!$B$8="出让",SUMPRODUCT(PRODUCT(1+N45:N$46)),SUMPRODUCT(PRODUCT(1+N45:N$45))),4)</f>
        <v>1.0109999999999999</v>
      </c>
      <c r="V45" s="3174"/>
      <c r="W45" s="3174">
        <f t="shared" si="104"/>
        <v>1.0045999999999999</v>
      </c>
      <c r="X45" s="3172"/>
      <c r="Y45" s="3175"/>
      <c r="Z45" s="3203">
        <f t="shared" si="105"/>
        <v>4.4999999999999997E-3</v>
      </c>
      <c r="AA45" s="3205">
        <f t="shared" si="105"/>
        <v>4.7000000000000002E-3</v>
      </c>
      <c r="AB45" s="3175">
        <f t="shared" si="105"/>
        <v>1.04E-2</v>
      </c>
      <c r="AC45" s="3204"/>
      <c r="AD45" s="3175">
        <f t="shared" si="105"/>
        <v>4.7000000000000002E-3</v>
      </c>
    </row>
    <row r="46" spans="1:30" s="3198" customFormat="1" thickBot="1">
      <c r="A46" s="3188" t="s">
        <v>2817</v>
      </c>
      <c r="B46" s="3189">
        <v>2021</v>
      </c>
      <c r="C46" s="3190">
        <v>1</v>
      </c>
      <c r="D46" s="3191"/>
      <c r="E46" s="3191">
        <v>0.35</v>
      </c>
      <c r="F46" s="3191">
        <v>0.48</v>
      </c>
      <c r="G46" s="3191">
        <v>0.98</v>
      </c>
      <c r="H46" s="3192"/>
      <c r="I46" s="3193">
        <f t="shared" si="88"/>
        <v>0.48</v>
      </c>
      <c r="J46" s="3194"/>
      <c r="K46" s="3195"/>
      <c r="L46" s="3196">
        <f t="shared" si="89"/>
        <v>3.4999999999999996E-3</v>
      </c>
      <c r="M46" s="3196">
        <f>F46/100</f>
        <v>4.7999999999999996E-3</v>
      </c>
      <c r="N46" s="3196">
        <f t="shared" si="89"/>
        <v>9.7999999999999997E-3</v>
      </c>
      <c r="O46" s="3196"/>
      <c r="P46" s="3196">
        <f t="shared" si="103"/>
        <v>4.7999999999999996E-3</v>
      </c>
      <c r="Q46" s="3194"/>
      <c r="R46" s="3197"/>
      <c r="S46" s="3197">
        <v>1</v>
      </c>
      <c r="T46" s="3197">
        <v>1</v>
      </c>
      <c r="U46" s="3197">
        <v>1</v>
      </c>
      <c r="V46" s="3197"/>
      <c r="W46" s="3197">
        <f t="shared" si="104"/>
        <v>1</v>
      </c>
      <c r="X46" s="3194"/>
      <c r="Y46" s="3196"/>
      <c r="Z46" s="3209">
        <f t="shared" si="105"/>
        <v>3.5000000000000001E-3</v>
      </c>
      <c r="AA46" s="3210">
        <f t="shared" si="105"/>
        <v>4.7999999999999996E-3</v>
      </c>
      <c r="AB46" s="3196">
        <f t="shared" si="105"/>
        <v>9.7999999999999997E-3</v>
      </c>
      <c r="AC46" s="3211"/>
      <c r="AD46" s="3196">
        <f t="shared" si="105"/>
        <v>4.7999999999999996E-3</v>
      </c>
    </row>
    <row r="47" spans="1:30" ht="14.25" thickTop="1"/>
    <row r="48" spans="1:30">
      <c r="A48" s="3439" t="s">
        <v>3359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07" t="s">
        <v>452</v>
      </c>
      <c r="C1" s="3807"/>
      <c r="D1" s="3807"/>
      <c r="E1" s="3807"/>
      <c r="F1" s="3807"/>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2112</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3355</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27">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3352</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27">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2113</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3353</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27">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3354</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27">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2429</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6">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2306</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1">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2305</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0">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2304</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4">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2301</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3">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2300</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0">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2128</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2126</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2125</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2124</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2122</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2121</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2123</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03">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2119</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03"/>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2118</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03"/>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2111</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12"/>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2109</v>
      </c>
      <c r="B25" s="2214">
        <v>439</v>
      </c>
      <c r="C25" s="2214">
        <v>327</v>
      </c>
      <c r="D25" s="2214">
        <f>C25</f>
        <v>327</v>
      </c>
      <c r="E25" s="2214">
        <v>627</v>
      </c>
      <c r="F25" s="2215">
        <v>283</v>
      </c>
      <c r="G25" s="3808">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2110</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03"/>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03"/>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12"/>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08">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03"/>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03"/>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04"/>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02">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03"/>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03"/>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04"/>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02">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03"/>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03"/>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04"/>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09">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10"/>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10"/>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11"/>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02">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03"/>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03"/>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04"/>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02">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03">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03">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04">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02">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03">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03">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04">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02">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03">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03">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04">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02">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03">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03">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04">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02">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03">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03">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04">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02">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03">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03">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04">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02">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03">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03">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04">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02">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03">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03">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04">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02">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03">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03">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04">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02">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03">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03">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04">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86"/>
      <c r="B3" s="3486"/>
      <c r="C3" s="3486"/>
      <c r="D3" s="852" t="s">
        <v>925</v>
      </c>
      <c r="E3" s="852" t="s">
        <v>931</v>
      </c>
      <c r="F3" s="852" t="s">
        <v>925</v>
      </c>
      <c r="G3" s="852" t="s">
        <v>926</v>
      </c>
      <c r="H3" s="852" t="s">
        <v>925</v>
      </c>
      <c r="I3" s="852" t="s">
        <v>926</v>
      </c>
    </row>
    <row r="4" spans="1:9" ht="45">
      <c r="A4" s="1502" t="str">
        <f>项目基本情况!S2</f>
        <v>北京市北京市海淀区双新村棚户区改造项目2603-003-1地块R2二类居住用地出让国有建设用地使用权</v>
      </c>
      <c r="B4" s="852">
        <f>项目基本情况!C17</f>
        <v>105107.27999999982</v>
      </c>
      <c r="C4" s="852">
        <f>项目基本情况!C18</f>
        <v>53915.27</v>
      </c>
      <c r="D4" s="852" t="e">
        <f ca="1">结果表!D118</f>
        <v>#REF!</v>
      </c>
      <c r="E4" s="852" t="e">
        <f ca="1">结果表!E118</f>
        <v>#REF!</v>
      </c>
      <c r="F4" s="852" t="e">
        <f ca="1">结果表!F118</f>
        <v>#REF!</v>
      </c>
      <c r="G4" s="852" t="e">
        <f ca="1">结果表!G118</f>
        <v>#REF!</v>
      </c>
      <c r="H4" s="852">
        <f ca="1">结果表!H118</f>
        <v>524696</v>
      </c>
      <c r="I4" s="852">
        <f ca="1">结果表!I118</f>
        <v>49920</v>
      </c>
    </row>
    <row r="5" spans="1:9" ht="30" customHeight="1">
      <c r="A5" s="3486" t="s">
        <v>927</v>
      </c>
      <c r="B5" s="3486"/>
      <c r="C5" s="3486"/>
      <c r="D5" s="3486" t="e">
        <f ca="1">结果表!D119</f>
        <v>#REF!</v>
      </c>
      <c r="E5" s="3486"/>
      <c r="F5" s="3486" t="e">
        <f ca="1">结果表!F119</f>
        <v>#REF!</v>
      </c>
      <c r="G5" s="3486"/>
      <c r="H5" s="3486" t="str">
        <f ca="1">结果表!H119</f>
        <v>伍拾贰亿肆仟陆佰玖拾陆万元整</v>
      </c>
      <c r="I5" s="3486"/>
    </row>
    <row r="6" spans="1:9" ht="15.75">
      <c r="A6" s="3485" t="str">
        <f>结果表!A120</f>
        <v>估价师知悉的法定优先受偿款</v>
      </c>
      <c r="B6" s="3485"/>
      <c r="C6" s="3485"/>
      <c r="D6" s="3485">
        <f>结果表!D120</f>
        <v>0</v>
      </c>
      <c r="E6" s="3485"/>
      <c r="F6" s="3485"/>
      <c r="G6" s="3485"/>
      <c r="H6" s="3485"/>
      <c r="I6" s="3485"/>
    </row>
    <row r="7" spans="1:9" ht="15">
      <c r="A7" s="3486" t="s">
        <v>927</v>
      </c>
      <c r="B7" s="3486"/>
      <c r="C7" s="3486"/>
      <c r="D7" s="3487" t="str">
        <f>结果表!D121</f>
        <v>零元整</v>
      </c>
      <c r="E7" s="3488"/>
      <c r="F7" s="3488"/>
      <c r="G7" s="3488"/>
      <c r="H7" s="3488"/>
      <c r="I7" s="3489"/>
    </row>
    <row r="8" spans="1:9" ht="15.75">
      <c r="A8" s="3485" t="str">
        <f>结果表!A122</f>
        <v>房地产抵押价值</v>
      </c>
      <c r="B8" s="3485"/>
      <c r="C8" s="3485"/>
      <c r="D8" s="3485">
        <f ca="1">结果表!D122</f>
        <v>524696</v>
      </c>
      <c r="E8" s="3485"/>
      <c r="F8" s="3485"/>
      <c r="G8" s="3485"/>
      <c r="H8" s="3485"/>
      <c r="I8" s="3485"/>
    </row>
    <row r="9" spans="1:9" ht="15">
      <c r="A9" s="3486" t="s">
        <v>927</v>
      </c>
      <c r="B9" s="3486"/>
      <c r="C9" s="3486"/>
      <c r="D9" s="3486" t="str">
        <f ca="1">结果表!D123</f>
        <v>伍拾贰亿肆仟陆佰玖拾陆万元整</v>
      </c>
      <c r="E9" s="3486"/>
      <c r="F9" s="3486"/>
      <c r="G9" s="3486"/>
      <c r="H9" s="3486"/>
      <c r="I9" s="3486"/>
    </row>
    <row r="10" spans="1:9" ht="15.75">
      <c r="A10" s="3485" t="str">
        <f>结果表!A124</f>
        <v/>
      </c>
      <c r="B10" s="3485"/>
      <c r="C10" s="3485"/>
      <c r="D10" s="3485" t="str">
        <f>结果表!D124</f>
        <v>——</v>
      </c>
      <c r="E10" s="3485"/>
      <c r="F10" s="3485"/>
      <c r="G10" s="3485"/>
      <c r="H10" s="3485"/>
      <c r="I10" s="3485"/>
    </row>
    <row r="11" spans="1:9" ht="15">
      <c r="A11" s="3486" t="s">
        <v>927</v>
      </c>
      <c r="B11" s="3486"/>
      <c r="C11" s="3486"/>
      <c r="D11" s="3486" t="e">
        <f>结果表!D125</f>
        <v>#VALUE!</v>
      </c>
      <c r="E11" s="3486"/>
      <c r="F11" s="3486"/>
      <c r="G11" s="3486"/>
      <c r="H11" s="3486"/>
      <c r="I11" s="3486"/>
    </row>
    <row r="12" spans="1:9" ht="15.75">
      <c r="A12" s="3485" t="str">
        <f>结果表!A126</f>
        <v/>
      </c>
      <c r="B12" s="3485"/>
      <c r="C12" s="3485"/>
      <c r="D12" s="3485" t="str">
        <f>结果表!D126</f>
        <v>——</v>
      </c>
      <c r="E12" s="3485"/>
      <c r="F12" s="3485"/>
      <c r="G12" s="3485"/>
      <c r="H12" s="3485"/>
      <c r="I12" s="3485"/>
    </row>
    <row r="13" spans="1:9" ht="15.75" thickBot="1">
      <c r="A13" s="3483" t="s">
        <v>927</v>
      </c>
      <c r="B13" s="3483"/>
      <c r="C13" s="3483"/>
      <c r="D13" s="3483" t="e">
        <f>结果表!D127</f>
        <v>#VALUE!</v>
      </c>
      <c r="E13" s="3483"/>
      <c r="F13" s="3483"/>
      <c r="G13" s="3483"/>
      <c r="H13" s="3483"/>
      <c r="I13" s="3483"/>
    </row>
    <row r="14" spans="1:9" ht="15" thickTop="1">
      <c r="A14" s="3484" t="s">
        <v>932</v>
      </c>
      <c r="B14" s="3484"/>
      <c r="C14" s="3484"/>
      <c r="D14" s="3484"/>
      <c r="E14" s="3484"/>
      <c r="F14" s="3484"/>
      <c r="G14" s="3484"/>
      <c r="H14" s="3484"/>
      <c r="I14" s="3484"/>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45576</v>
      </c>
      <c r="D1" s="1299" t="s">
        <v>603</v>
      </c>
      <c r="E1" s="1294">
        <f>'数据-取费表'!B22</f>
        <v>3</v>
      </c>
      <c r="F1" s="1299" t="s">
        <v>604</v>
      </c>
      <c r="G1" s="1295">
        <f ca="1">INDIRECT("d"&amp;$K$1)/100</f>
        <v>3.3500000000000002E-2</v>
      </c>
      <c r="H1" s="1299" t="s">
        <v>634</v>
      </c>
      <c r="I1" s="1295">
        <f ca="1">F4/100</f>
        <v>1.4999999999999999E-2</v>
      </c>
      <c r="J1" s="1300">
        <f>IF(C1&gt;C13,0,MATCH(C1,C$13:C$113,-1))+IF(SUMIF(C13:C113,C1,D13:D113)=0,13,12)</f>
        <v>13</v>
      </c>
      <c r="K1" s="1300">
        <f ca="1">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3.35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3.35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3.35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3.35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3.85</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2">
        <v>45495</v>
      </c>
      <c r="D13" s="2813">
        <v>3.35</v>
      </c>
      <c r="E13" s="2813">
        <f>D13</f>
        <v>3.35</v>
      </c>
      <c r="F13" s="2813">
        <f>D13</f>
        <v>3.35</v>
      </c>
      <c r="G13" s="2813">
        <f>D13</f>
        <v>3.35</v>
      </c>
      <c r="H13" s="2813">
        <v>3.85</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07"/>
      <c r="C14" s="2809">
        <v>45342</v>
      </c>
      <c r="D14" s="2808">
        <v>3.45</v>
      </c>
      <c r="E14" s="2808">
        <f>D14</f>
        <v>3.45</v>
      </c>
      <c r="F14" s="2808">
        <f>D14</f>
        <v>3.45</v>
      </c>
      <c r="G14" s="2808">
        <f>D14</f>
        <v>3.45</v>
      </c>
      <c r="H14" s="2808">
        <v>3.95</v>
      </c>
      <c r="I14" s="2813"/>
      <c r="J14" s="2813"/>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07"/>
      <c r="C15" s="2809">
        <v>45159</v>
      </c>
      <c r="D15" s="2808">
        <v>3.45</v>
      </c>
      <c r="E15" s="2808">
        <f>D15</f>
        <v>3.45</v>
      </c>
      <c r="F15" s="2808">
        <f>D15</f>
        <v>3.45</v>
      </c>
      <c r="G15" s="2808">
        <f>D15</f>
        <v>3.45</v>
      </c>
      <c r="H15" s="2808">
        <v>4.2</v>
      </c>
      <c r="I15" s="2813"/>
      <c r="J15" s="2813"/>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07"/>
      <c r="C16" s="2809">
        <v>45097</v>
      </c>
      <c r="D16" s="2808">
        <v>3.55</v>
      </c>
      <c r="E16" s="2808">
        <f>D16</f>
        <v>3.55</v>
      </c>
      <c r="F16" s="2808">
        <f>D16</f>
        <v>3.55</v>
      </c>
      <c r="G16" s="2808">
        <f>D16</f>
        <v>3.55</v>
      </c>
      <c r="H16" s="2808">
        <v>4.2</v>
      </c>
      <c r="I16" s="2813"/>
      <c r="J16" s="2813"/>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07"/>
      <c r="C17" s="2809">
        <v>44795</v>
      </c>
      <c r="D17" s="2808">
        <v>3.65</v>
      </c>
      <c r="E17" s="2808">
        <v>3.65</v>
      </c>
      <c r="F17" s="2808">
        <v>3.65</v>
      </c>
      <c r="G17" s="2808">
        <v>3.65</v>
      </c>
      <c r="H17" s="2808">
        <v>4.3</v>
      </c>
      <c r="I17" s="2813"/>
      <c r="J17" s="2813"/>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07"/>
      <c r="C18" s="2809">
        <v>44701</v>
      </c>
      <c r="D18" s="2808">
        <v>3.7</v>
      </c>
      <c r="E18" s="2808">
        <f>D18</f>
        <v>3.7</v>
      </c>
      <c r="F18" s="2808">
        <f>D18</f>
        <v>3.7</v>
      </c>
      <c r="G18" s="2808">
        <f>D18</f>
        <v>3.7</v>
      </c>
      <c r="H18" s="2808">
        <v>4.45</v>
      </c>
      <c r="I18" s="2813"/>
      <c r="J18" s="2813"/>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1"/>
      <c r="B19" s="2807"/>
      <c r="C19" s="2809">
        <v>44581</v>
      </c>
      <c r="D19" s="2808">
        <v>3.7</v>
      </c>
      <c r="E19" s="2808">
        <f>D19</f>
        <v>3.7</v>
      </c>
      <c r="F19" s="2808">
        <f>D19</f>
        <v>3.7</v>
      </c>
      <c r="G19" s="2808">
        <f>D19</f>
        <v>3.7</v>
      </c>
      <c r="H19" s="2808">
        <v>4.5999999999999996</v>
      </c>
      <c r="I19" s="2813"/>
      <c r="J19" s="2813"/>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08"/>
      <c r="C20" s="2809">
        <v>44550</v>
      </c>
      <c r="D20" s="2808">
        <v>3.8</v>
      </c>
      <c r="E20" s="2808">
        <f>D20</f>
        <v>3.8</v>
      </c>
      <c r="F20" s="2808">
        <f>D20</f>
        <v>3.8</v>
      </c>
      <c r="G20" s="2808">
        <f>D20</f>
        <v>3.8</v>
      </c>
      <c r="H20" s="2808">
        <v>4.6500000000000004</v>
      </c>
      <c r="I20" s="2808"/>
      <c r="J20" s="2813"/>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08"/>
      <c r="C21" s="2809">
        <v>43941</v>
      </c>
      <c r="D21" s="2808">
        <v>3.85</v>
      </c>
      <c r="E21" s="2808">
        <v>3.85</v>
      </c>
      <c r="F21" s="2808">
        <v>3.85</v>
      </c>
      <c r="G21" s="2808">
        <v>3.85</v>
      </c>
      <c r="H21" s="2808">
        <v>4.6500000000000004</v>
      </c>
      <c r="I21" s="2808"/>
      <c r="J21" s="2808"/>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08"/>
      <c r="C22" s="2809">
        <v>43881</v>
      </c>
      <c r="D22" s="2808">
        <v>4.05</v>
      </c>
      <c r="E22" s="2808">
        <v>4.05</v>
      </c>
      <c r="F22" s="2808">
        <v>4.05</v>
      </c>
      <c r="G22" s="2808">
        <v>4.05</v>
      </c>
      <c r="H22" s="2808">
        <v>4.75</v>
      </c>
      <c r="I22" s="2808"/>
      <c r="J22" s="2808"/>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14"/>
      <c r="B23" s="2808"/>
      <c r="C23" s="2809">
        <v>43789</v>
      </c>
      <c r="D23" s="2808">
        <v>4.1500000000000004</v>
      </c>
      <c r="E23" s="2808">
        <v>4.1500000000000004</v>
      </c>
      <c r="F23" s="2808">
        <v>4.1500000000000004</v>
      </c>
      <c r="G23" s="2808">
        <v>4.1500000000000004</v>
      </c>
      <c r="H23" s="2808">
        <v>4.8</v>
      </c>
      <c r="I23" s="2808"/>
      <c r="J23" s="2808"/>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c r="B24" s="2808"/>
      <c r="C24" s="2809">
        <v>43728</v>
      </c>
      <c r="D24" s="2808">
        <v>4.2</v>
      </c>
      <c r="E24" s="2808">
        <v>4.2</v>
      </c>
      <c r="F24" s="2808">
        <v>4.2</v>
      </c>
      <c r="G24" s="2808">
        <v>4.2</v>
      </c>
      <c r="H24" s="2808">
        <v>4.8499999999999996</v>
      </c>
      <c r="I24" s="2808"/>
      <c r="J24" s="2808"/>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ht="14.25">
      <c r="B25" s="2807" t="s">
        <v>2302</v>
      </c>
      <c r="C25" s="2810">
        <v>43697</v>
      </c>
      <c r="D25" s="2811">
        <v>4.25</v>
      </c>
      <c r="E25" s="2811">
        <v>4.25</v>
      </c>
      <c r="F25" s="2811">
        <v>4.25</v>
      </c>
      <c r="G25" s="2811">
        <v>4.25</v>
      </c>
      <c r="H25" s="2811">
        <v>4.8499999999999996</v>
      </c>
      <c r="I25" s="2811"/>
      <c r="J25" s="2811"/>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ht="14.25">
      <c r="B26" s="2815"/>
      <c r="C26" s="2816">
        <v>42301</v>
      </c>
      <c r="D26" s="2817">
        <v>4.3499999999999996</v>
      </c>
      <c r="E26" s="2817">
        <v>4.3499999999999996</v>
      </c>
      <c r="F26" s="2817">
        <v>4.75</v>
      </c>
      <c r="G26" s="2817">
        <v>4.75</v>
      </c>
      <c r="H26" s="2817">
        <v>4.9000000000000004</v>
      </c>
      <c r="I26" s="2817"/>
      <c r="J26" s="2817"/>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42242</v>
      </c>
      <c r="D27" s="1287">
        <v>4.5999999999999996</v>
      </c>
      <c r="E27" s="1287">
        <v>4.5999999999999996</v>
      </c>
      <c r="F27" s="1287">
        <v>5</v>
      </c>
      <c r="G27" s="1287">
        <v>5</v>
      </c>
      <c r="H27" s="1287">
        <v>5.15</v>
      </c>
      <c r="I27" s="1287">
        <v>2.75</v>
      </c>
      <c r="J27" s="1287">
        <v>3.25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42183</v>
      </c>
      <c r="D28" s="1287">
        <v>4.8499999999999996</v>
      </c>
      <c r="E28" s="1287">
        <v>4.8499999999999996</v>
      </c>
      <c r="F28" s="1287">
        <v>5.25</v>
      </c>
      <c r="G28" s="1287">
        <v>5.25</v>
      </c>
      <c r="H28" s="1287">
        <v>5.4</v>
      </c>
      <c r="I28" s="1287">
        <v>3</v>
      </c>
      <c r="J28" s="1287">
        <v>3.5</v>
      </c>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42135</v>
      </c>
      <c r="D29" s="1287">
        <v>5.0999999999999996</v>
      </c>
      <c r="E29" s="1287">
        <v>5.0999999999999996</v>
      </c>
      <c r="F29" s="1287">
        <v>5.5</v>
      </c>
      <c r="G29" s="1287">
        <v>5.5</v>
      </c>
      <c r="H29" s="1287">
        <v>5.65</v>
      </c>
      <c r="I29" s="1287">
        <v>3.25</v>
      </c>
      <c r="J29" s="1287">
        <v>3.75</v>
      </c>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42064</v>
      </c>
      <c r="D30" s="1287">
        <v>5.35</v>
      </c>
      <c r="E30" s="1287">
        <v>5.35</v>
      </c>
      <c r="F30" s="1287">
        <v>5.75</v>
      </c>
      <c r="G30" s="1287">
        <v>5.75</v>
      </c>
      <c r="H30" s="1287">
        <v>5.9</v>
      </c>
      <c r="I30" s="1287"/>
      <c r="J30" s="1287"/>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41965</v>
      </c>
      <c r="D31" s="1287">
        <v>5.6</v>
      </c>
      <c r="E31" s="1287">
        <v>5.6</v>
      </c>
      <c r="F31" s="1287">
        <v>6</v>
      </c>
      <c r="G31" s="1287">
        <v>6</v>
      </c>
      <c r="H31" s="1287">
        <v>6.15</v>
      </c>
      <c r="I31" s="1287"/>
      <c r="J31" s="1287"/>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41096</v>
      </c>
      <c r="D32" s="1287">
        <v>5.6</v>
      </c>
      <c r="E32" s="1287">
        <v>6</v>
      </c>
      <c r="F32" s="1287">
        <v>6.15</v>
      </c>
      <c r="G32" s="1287">
        <v>6.4</v>
      </c>
      <c r="H32" s="1287">
        <v>6.55</v>
      </c>
      <c r="I32" s="1287">
        <v>4</v>
      </c>
      <c r="J32" s="1287">
        <v>4.5</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41068</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40731</v>
      </c>
      <c r="D34" s="1287">
        <v>6.1</v>
      </c>
      <c r="E34" s="1287">
        <v>6.56</v>
      </c>
      <c r="F34" s="1287">
        <v>6.65</v>
      </c>
      <c r="G34" s="1287">
        <v>6.9</v>
      </c>
      <c r="H34" s="1287">
        <v>7.05</v>
      </c>
      <c r="I34" s="1287">
        <v>4.45</v>
      </c>
      <c r="J34" s="1287">
        <v>4.9000000000000004</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40639</v>
      </c>
      <c r="D35" s="1287">
        <v>5.85</v>
      </c>
      <c r="E35" s="1287">
        <v>6.31</v>
      </c>
      <c r="F35" s="1287">
        <v>6.4</v>
      </c>
      <c r="G35" s="1287">
        <v>6.65</v>
      </c>
      <c r="H35" s="1287">
        <v>6.8</v>
      </c>
      <c r="I35" s="1287">
        <v>4.2</v>
      </c>
      <c r="J35" s="1287">
        <v>4.7</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40583</v>
      </c>
      <c r="D36" s="1287">
        <v>5.6</v>
      </c>
      <c r="E36" s="1287">
        <v>6.06</v>
      </c>
      <c r="F36" s="1287">
        <v>6.1</v>
      </c>
      <c r="G36" s="1287">
        <v>6.45</v>
      </c>
      <c r="H36" s="1287">
        <v>6.6</v>
      </c>
      <c r="I36" s="1287">
        <v>4</v>
      </c>
      <c r="J36" s="1287">
        <v>4.5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40538</v>
      </c>
      <c r="D37" s="1287">
        <v>5.35</v>
      </c>
      <c r="E37" s="1287">
        <v>5.81</v>
      </c>
      <c r="F37" s="1287">
        <v>5.85</v>
      </c>
      <c r="G37" s="1287">
        <v>6.22</v>
      </c>
      <c r="H37" s="1287">
        <v>6.4</v>
      </c>
      <c r="I37" s="1287">
        <v>3.75</v>
      </c>
      <c r="J37" s="1287">
        <v>4.3</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40471</v>
      </c>
      <c r="D38" s="1287">
        <v>5.0999999999999996</v>
      </c>
      <c r="E38" s="1287">
        <v>5.56</v>
      </c>
      <c r="F38" s="1287">
        <v>5.6</v>
      </c>
      <c r="G38" s="1287">
        <v>5.96</v>
      </c>
      <c r="H38" s="1287">
        <v>6.14</v>
      </c>
      <c r="I38" s="1287">
        <v>3.5</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39805</v>
      </c>
      <c r="D39" s="1287">
        <v>4.8600000000000003</v>
      </c>
      <c r="E39" s="1287">
        <v>5.31</v>
      </c>
      <c r="F39" s="1287">
        <v>5.4</v>
      </c>
      <c r="G39" s="1287">
        <v>5.76</v>
      </c>
      <c r="H39" s="1287">
        <v>5.94</v>
      </c>
      <c r="I39" s="1287">
        <v>3.33</v>
      </c>
      <c r="J39" s="1287">
        <v>3.87</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8">
        <v>39779</v>
      </c>
      <c r="D40" s="1287">
        <v>5.04</v>
      </c>
      <c r="E40" s="1287">
        <v>5.58</v>
      </c>
      <c r="F40" s="1287">
        <v>5.67</v>
      </c>
      <c r="G40" s="1287">
        <v>5.94</v>
      </c>
      <c r="H40" s="1287">
        <v>6.12</v>
      </c>
      <c r="I40" s="1287">
        <v>3.51</v>
      </c>
      <c r="J40" s="1287">
        <v>4.05</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39751</v>
      </c>
      <c r="D41" s="1287">
        <v>6.03</v>
      </c>
      <c r="E41" s="1287">
        <v>6.66</v>
      </c>
      <c r="F41" s="1287">
        <v>6.75</v>
      </c>
      <c r="G41" s="1287">
        <v>7.02</v>
      </c>
      <c r="H41" s="1287">
        <v>7.2</v>
      </c>
      <c r="I41" s="1287">
        <v>4.05</v>
      </c>
      <c r="J41" s="1287">
        <v>4.59</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9">
        <v>39748</v>
      </c>
      <c r="D42" s="1287">
        <v>6.12</v>
      </c>
      <c r="E42" s="1287">
        <v>6.93</v>
      </c>
      <c r="F42" s="1287">
        <v>7.02</v>
      </c>
      <c r="G42" s="1287">
        <v>7.29</v>
      </c>
      <c r="H42" s="1287">
        <v>7.47</v>
      </c>
      <c r="I42" s="1287">
        <v>4.05</v>
      </c>
      <c r="J42" s="1287">
        <v>4.59</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39730</v>
      </c>
      <c r="D43" s="1287">
        <v>6.12</v>
      </c>
      <c r="E43" s="1287">
        <v>6.93</v>
      </c>
      <c r="F43" s="1287">
        <v>7.02</v>
      </c>
      <c r="G43" s="1287">
        <v>7.29</v>
      </c>
      <c r="H43" s="1287">
        <v>7.47</v>
      </c>
      <c r="I43" s="1287">
        <v>4.32</v>
      </c>
      <c r="J43" s="1287">
        <v>4.8600000000000003</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39707</v>
      </c>
      <c r="D44" s="1287">
        <v>6.21</v>
      </c>
      <c r="E44" s="1287">
        <v>7.2</v>
      </c>
      <c r="F44" s="1287">
        <v>7.29</v>
      </c>
      <c r="G44" s="1287">
        <v>7.56</v>
      </c>
      <c r="H44" s="1287">
        <v>7.74</v>
      </c>
      <c r="I44" s="1287">
        <v>4.59</v>
      </c>
      <c r="J44" s="1287">
        <v>5.13</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39437</v>
      </c>
      <c r="D45" s="1287">
        <v>6.57</v>
      </c>
      <c r="E45" s="1287">
        <v>7.47</v>
      </c>
      <c r="F45" s="1287">
        <v>7.56</v>
      </c>
      <c r="G45" s="1287">
        <v>7.74</v>
      </c>
      <c r="H45" s="1287">
        <v>7.83</v>
      </c>
      <c r="I45" s="1287">
        <v>4.7699999999999996</v>
      </c>
      <c r="J45" s="1287">
        <v>5.22</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39340</v>
      </c>
      <c r="D46" s="1287">
        <v>6.48</v>
      </c>
      <c r="E46" s="1287">
        <v>7.29</v>
      </c>
      <c r="F46" s="1287">
        <v>7.47</v>
      </c>
      <c r="G46" s="1287">
        <v>7.65</v>
      </c>
      <c r="H46" s="1287">
        <v>7.83</v>
      </c>
      <c r="I46" s="1287">
        <v>4.7699999999999996</v>
      </c>
      <c r="J46" s="1287">
        <v>5.22</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39316</v>
      </c>
      <c r="D47" s="1287">
        <v>6.21</v>
      </c>
      <c r="E47" s="1287">
        <v>7.02</v>
      </c>
      <c r="F47" s="1287">
        <v>7.2</v>
      </c>
      <c r="G47" s="1287">
        <v>7.38</v>
      </c>
      <c r="H47" s="1287">
        <v>7.56</v>
      </c>
      <c r="I47" s="1287">
        <v>4.59</v>
      </c>
      <c r="J47" s="1287">
        <v>5.04</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39284</v>
      </c>
      <c r="D48" s="1287">
        <v>6.03</v>
      </c>
      <c r="E48" s="1287">
        <v>6.84</v>
      </c>
      <c r="F48" s="1287">
        <v>7.02</v>
      </c>
      <c r="G48" s="1287">
        <v>7.2</v>
      </c>
      <c r="H48" s="1287">
        <v>7.38</v>
      </c>
      <c r="I48" s="1287">
        <v>4.5</v>
      </c>
      <c r="J48" s="1287">
        <v>4.95</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39221</v>
      </c>
      <c r="D49" s="1287">
        <v>5.85</v>
      </c>
      <c r="E49" s="1287">
        <v>6.57</v>
      </c>
      <c r="F49" s="1287">
        <v>6.75</v>
      </c>
      <c r="G49" s="1287">
        <v>6.93</v>
      </c>
      <c r="H49" s="1287">
        <v>7.2</v>
      </c>
      <c r="I49" s="1287">
        <v>4.41</v>
      </c>
      <c r="J49" s="1287">
        <v>4.8600000000000003</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39159</v>
      </c>
      <c r="D50" s="1287">
        <v>5.67</v>
      </c>
      <c r="E50" s="1287">
        <v>6.39</v>
      </c>
      <c r="F50" s="1287">
        <v>6.57</v>
      </c>
      <c r="G50" s="1287">
        <v>6.75</v>
      </c>
      <c r="H50" s="1287">
        <v>7.11</v>
      </c>
      <c r="I50" s="1287">
        <v>4.32</v>
      </c>
      <c r="J50" s="1287">
        <v>4.7699999999999996</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38948</v>
      </c>
      <c r="D51" s="1287">
        <v>5.58</v>
      </c>
      <c r="E51" s="1287">
        <v>6.12</v>
      </c>
      <c r="F51" s="1287">
        <v>6.3</v>
      </c>
      <c r="G51" s="1287">
        <v>6.48</v>
      </c>
      <c r="H51" s="1287">
        <v>6.84</v>
      </c>
      <c r="I51" s="1287">
        <v>4.1399999999999997</v>
      </c>
      <c r="J51" s="1287">
        <v>4.59</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38835</v>
      </c>
      <c r="D52" s="1287">
        <v>5.4</v>
      </c>
      <c r="E52" s="1287">
        <v>5.85</v>
      </c>
      <c r="F52" s="1287">
        <v>6.03</v>
      </c>
      <c r="G52" s="1287">
        <v>6.12</v>
      </c>
      <c r="H52" s="1287">
        <v>6.39</v>
      </c>
      <c r="I52" s="1287">
        <v>4.1399999999999997</v>
      </c>
      <c r="J52" s="1287">
        <v>4.59</v>
      </c>
      <c r="L52" s="1287"/>
      <c r="M52" s="1288"/>
      <c r="N52" s="1287"/>
      <c r="O52" s="1287"/>
      <c r="P52" s="1287"/>
      <c r="Q52" s="1287"/>
      <c r="R52" s="1287"/>
      <c r="S52" s="1287"/>
      <c r="T52" s="1287"/>
      <c r="U52" s="1287"/>
      <c r="V52" s="1287"/>
      <c r="W52" s="1287"/>
      <c r="X52" s="1287"/>
      <c r="Y52" s="1287"/>
      <c r="Z52" s="1287"/>
    </row>
    <row r="53" spans="2:26">
      <c r="B53" s="1287"/>
      <c r="C53" s="1288">
        <v>38428</v>
      </c>
      <c r="D53" s="1287">
        <v>5.22</v>
      </c>
      <c r="E53" s="1287">
        <v>5.58</v>
      </c>
      <c r="F53" s="1287">
        <v>5.76</v>
      </c>
      <c r="G53" s="1287">
        <v>5.85</v>
      </c>
      <c r="H53" s="1287">
        <v>6.12</v>
      </c>
      <c r="I53" s="1287">
        <v>3.96</v>
      </c>
      <c r="J53" s="1287">
        <v>4.41</v>
      </c>
      <c r="L53" s="1287"/>
      <c r="M53" s="1288"/>
      <c r="N53" s="1287"/>
      <c r="O53" s="1287"/>
      <c r="P53" s="1287"/>
      <c r="Q53" s="1287"/>
      <c r="R53" s="1287"/>
      <c r="S53" s="1287"/>
      <c r="T53" s="1287"/>
      <c r="U53" s="1287"/>
      <c r="V53" s="1287"/>
      <c r="W53" s="1287"/>
      <c r="X53" s="1287"/>
      <c r="Y53" s="1287"/>
      <c r="Z53" s="1287"/>
    </row>
    <row r="54" spans="2:26">
      <c r="B54" s="1287"/>
      <c r="C54" s="1288">
        <v>38289</v>
      </c>
      <c r="D54" s="1287">
        <v>5.22</v>
      </c>
      <c r="E54" s="1287">
        <v>5.58</v>
      </c>
      <c r="F54" s="1287">
        <v>5.76</v>
      </c>
      <c r="G54" s="1287">
        <v>5.85</v>
      </c>
      <c r="H54" s="1287">
        <v>6.12</v>
      </c>
      <c r="I54" s="1287">
        <v>3.78</v>
      </c>
      <c r="J54" s="1287">
        <v>4.2300000000000004</v>
      </c>
      <c r="L54" s="1287"/>
      <c r="M54" s="1288"/>
      <c r="N54" s="1287"/>
      <c r="O54" s="1287"/>
      <c r="P54" s="1287"/>
      <c r="Q54" s="1287"/>
      <c r="R54" s="1287"/>
      <c r="S54" s="1287"/>
      <c r="T54" s="1287"/>
      <c r="U54" s="1287"/>
      <c r="V54" s="1287"/>
      <c r="W54" s="1287"/>
      <c r="X54" s="1287"/>
      <c r="Y54" s="1287"/>
      <c r="Z54" s="1287"/>
    </row>
    <row r="55" spans="2:26">
      <c r="B55" s="1287"/>
      <c r="C55" s="1288">
        <v>37308</v>
      </c>
      <c r="D55" s="1287">
        <v>5.04</v>
      </c>
      <c r="E55" s="1287">
        <v>5.31</v>
      </c>
      <c r="F55" s="1287">
        <v>5.49</v>
      </c>
      <c r="G55" s="1287">
        <v>5.58</v>
      </c>
      <c r="H55" s="1287">
        <v>5.76</v>
      </c>
      <c r="I55" s="1287">
        <v>3.6</v>
      </c>
      <c r="J55" s="1287">
        <v>4.05</v>
      </c>
      <c r="L55" s="1287"/>
      <c r="M55" s="1288"/>
      <c r="N55" s="1287"/>
      <c r="O55" s="1287"/>
      <c r="P55" s="1287"/>
      <c r="Q55" s="1287"/>
      <c r="R55" s="1287"/>
      <c r="S55" s="1287"/>
      <c r="T55" s="1287"/>
      <c r="U55" s="1287"/>
      <c r="V55" s="1287"/>
      <c r="W55" s="1287"/>
      <c r="X55" s="1287"/>
      <c r="Y55" s="1287"/>
      <c r="Z55" s="1287"/>
    </row>
    <row r="56" spans="2:26">
      <c r="B56" s="1287"/>
      <c r="C56" s="1288">
        <v>36321</v>
      </c>
      <c r="D56" s="1287">
        <v>5.58</v>
      </c>
      <c r="E56" s="1287">
        <v>5.85</v>
      </c>
      <c r="F56" s="1287">
        <v>5.94</v>
      </c>
      <c r="G56" s="1287">
        <v>6.03</v>
      </c>
      <c r="H56" s="1287">
        <v>6.21</v>
      </c>
      <c r="I56" s="1287">
        <v>4.1399999999999997</v>
      </c>
      <c r="J56" s="1287">
        <v>4.59</v>
      </c>
      <c r="L56" s="1287"/>
      <c r="M56" s="1288"/>
      <c r="N56" s="1287"/>
      <c r="O56" s="1287"/>
      <c r="P56" s="1287"/>
      <c r="Q56" s="1287"/>
      <c r="R56" s="1287"/>
      <c r="S56" s="1287"/>
      <c r="T56" s="1287"/>
      <c r="U56" s="1287"/>
      <c r="V56" s="1287"/>
      <c r="W56" s="1287"/>
      <c r="X56" s="1287"/>
      <c r="Y56" s="1287"/>
      <c r="Z56" s="1287"/>
    </row>
    <row r="57" spans="2:26">
      <c r="B57" s="1287"/>
      <c r="C57" s="1288">
        <v>36136</v>
      </c>
      <c r="D57" s="1287">
        <v>6.12</v>
      </c>
      <c r="E57" s="1287">
        <v>6.39</v>
      </c>
      <c r="F57" s="1287">
        <v>6.66</v>
      </c>
      <c r="G57" s="1287">
        <v>7.2</v>
      </c>
      <c r="H57" s="1287">
        <v>7.56</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35977</v>
      </c>
      <c r="D58" s="1287">
        <v>6.57</v>
      </c>
      <c r="E58" s="1287">
        <v>6.93</v>
      </c>
      <c r="F58" s="1287">
        <v>7.11</v>
      </c>
      <c r="G58" s="1287">
        <v>7.65</v>
      </c>
      <c r="H58" s="1287">
        <v>8.01</v>
      </c>
      <c r="I58" s="1287">
        <v>0</v>
      </c>
      <c r="J58" s="1287">
        <v>0</v>
      </c>
    </row>
    <row r="59" spans="2:26">
      <c r="B59" s="1287"/>
      <c r="C59" s="1288">
        <v>35879</v>
      </c>
      <c r="D59" s="1287">
        <v>7.02</v>
      </c>
      <c r="E59" s="1287">
        <v>7.92</v>
      </c>
      <c r="F59" s="1287">
        <v>9</v>
      </c>
      <c r="G59" s="1287">
        <v>9.7200000000000006</v>
      </c>
      <c r="H59" s="1287">
        <v>10.35</v>
      </c>
      <c r="I59" s="1287">
        <v>0</v>
      </c>
      <c r="J59" s="1287">
        <v>0</v>
      </c>
    </row>
    <row r="60" spans="2:26">
      <c r="B60" s="1287"/>
      <c r="C60" s="1288">
        <v>35726</v>
      </c>
      <c r="D60" s="1287">
        <v>7.65</v>
      </c>
      <c r="E60" s="1287">
        <v>8.64</v>
      </c>
      <c r="F60" s="1287">
        <v>9.36</v>
      </c>
      <c r="G60" s="1287">
        <v>9.9</v>
      </c>
      <c r="H60" s="1287">
        <v>10.53</v>
      </c>
      <c r="I60" s="1287">
        <v>0</v>
      </c>
      <c r="J60" s="1287">
        <v>0</v>
      </c>
    </row>
    <row r="61" spans="2:26">
      <c r="B61" s="1287"/>
      <c r="C61" s="1288">
        <v>35300</v>
      </c>
      <c r="D61" s="1287">
        <v>9.18</v>
      </c>
      <c r="E61" s="1287">
        <v>10.08</v>
      </c>
      <c r="F61" s="1287">
        <v>10.98</v>
      </c>
      <c r="G61" s="1287">
        <v>11.7</v>
      </c>
      <c r="H61" s="1287">
        <v>12.42</v>
      </c>
      <c r="I61" s="1287">
        <v>0</v>
      </c>
      <c r="J61" s="1287">
        <v>0</v>
      </c>
    </row>
    <row r="62" spans="2:26">
      <c r="B62" s="1287"/>
      <c r="C62" s="1288">
        <v>35186</v>
      </c>
      <c r="D62" s="1287">
        <v>9.7200000000000006</v>
      </c>
      <c r="E62" s="1287">
        <v>10.98</v>
      </c>
      <c r="F62" s="1287">
        <v>13.14</v>
      </c>
      <c r="G62" s="1287">
        <v>14.94</v>
      </c>
      <c r="H62" s="1287">
        <v>15.12</v>
      </c>
      <c r="I62" s="1287">
        <v>0</v>
      </c>
      <c r="J62" s="1287">
        <v>0</v>
      </c>
    </row>
    <row r="63" spans="2:26">
      <c r="B63" s="1287"/>
      <c r="C63" s="1288">
        <v>34881</v>
      </c>
      <c r="D63" s="1287">
        <v>10.08</v>
      </c>
      <c r="E63" s="1287">
        <v>12.06</v>
      </c>
      <c r="F63" s="1287">
        <v>13.5</v>
      </c>
      <c r="G63" s="1287">
        <v>15.12</v>
      </c>
      <c r="H63" s="1287">
        <v>15.3</v>
      </c>
      <c r="I63" s="1287">
        <v>0</v>
      </c>
      <c r="J63" s="1287">
        <v>0</v>
      </c>
    </row>
    <row r="64" spans="2:26">
      <c r="B64" s="1287"/>
      <c r="C64" s="1288">
        <v>34700</v>
      </c>
      <c r="D64" s="1287">
        <v>9</v>
      </c>
      <c r="E64" s="1287">
        <v>10.98</v>
      </c>
      <c r="F64" s="1287">
        <v>12.96</v>
      </c>
      <c r="G64" s="1287">
        <v>14.58</v>
      </c>
      <c r="H64" s="1287">
        <v>14.76</v>
      </c>
      <c r="I64" s="1287">
        <v>0</v>
      </c>
      <c r="J64" s="1287">
        <v>0</v>
      </c>
    </row>
    <row r="65" spans="2:10">
      <c r="B65" s="1287"/>
      <c r="C65" s="1288">
        <v>34161</v>
      </c>
      <c r="D65" s="1287">
        <v>9</v>
      </c>
      <c r="E65" s="1287">
        <v>10.98</v>
      </c>
      <c r="F65" s="1287">
        <v>12.24</v>
      </c>
      <c r="G65" s="1287">
        <v>13.86</v>
      </c>
      <c r="H65" s="1287">
        <v>14.04</v>
      </c>
      <c r="I65" s="1287">
        <v>0</v>
      </c>
      <c r="J65" s="1287">
        <v>0</v>
      </c>
    </row>
    <row r="66" spans="2:10">
      <c r="B66" s="1287"/>
      <c r="C66" s="1288">
        <v>34104</v>
      </c>
      <c r="D66" s="1287">
        <v>8.82</v>
      </c>
      <c r="E66" s="1287">
        <v>9.36</v>
      </c>
      <c r="F66" s="1287">
        <v>10.8</v>
      </c>
      <c r="G66" s="1287">
        <v>12.06</v>
      </c>
      <c r="H66" s="1287">
        <v>12.24</v>
      </c>
      <c r="I66" s="1287">
        <v>0</v>
      </c>
      <c r="J66" s="1287">
        <v>0</v>
      </c>
    </row>
    <row r="67" spans="2:10">
      <c r="B67" s="1287"/>
      <c r="C67" s="1288">
        <v>33349</v>
      </c>
      <c r="D67" s="1287">
        <v>8.1</v>
      </c>
      <c r="E67" s="1287">
        <v>8.64</v>
      </c>
      <c r="F67" s="1287">
        <v>9</v>
      </c>
      <c r="G67" s="1287">
        <v>9.5399999999999991</v>
      </c>
      <c r="H67" s="1287">
        <v>9.7200000000000006</v>
      </c>
      <c r="I67" s="1287">
        <v>0</v>
      </c>
      <c r="J67" s="1287">
        <v>0</v>
      </c>
    </row>
    <row r="68" spans="2:10">
      <c r="B68" s="1287"/>
      <c r="C68" s="1288">
        <v>33318</v>
      </c>
      <c r="D68" s="1287">
        <v>9</v>
      </c>
      <c r="E68" s="1287">
        <v>10.08</v>
      </c>
      <c r="F68" s="1287">
        <v>10.8</v>
      </c>
      <c r="G68" s="1287">
        <v>11.52</v>
      </c>
      <c r="H68" s="1287">
        <v>11.88</v>
      </c>
      <c r="I68" s="1287" t="s">
        <v>633</v>
      </c>
      <c r="J68" s="1287" t="s">
        <v>633</v>
      </c>
    </row>
    <row r="69" spans="2:10">
      <c r="B69" s="1287"/>
      <c r="C69" s="1288">
        <v>33106</v>
      </c>
      <c r="D69" s="1287">
        <v>8.64</v>
      </c>
      <c r="E69" s="1287">
        <v>9.36</v>
      </c>
      <c r="F69" s="1287">
        <v>10.08</v>
      </c>
      <c r="G69" s="1287">
        <v>10.8</v>
      </c>
      <c r="H69" s="1287">
        <v>11.16</v>
      </c>
      <c r="I69" s="1287">
        <v>0</v>
      </c>
      <c r="J69" s="1287">
        <v>0</v>
      </c>
    </row>
    <row r="70" spans="2:10">
      <c r="B70" s="1287"/>
      <c r="C70" s="1288">
        <v>32540</v>
      </c>
      <c r="D70" s="1287">
        <v>11.34</v>
      </c>
      <c r="E70" s="1287">
        <v>11.34</v>
      </c>
      <c r="F70" s="1287">
        <v>12.78</v>
      </c>
      <c r="G70" s="1287">
        <v>14.4</v>
      </c>
      <c r="H70" s="1287">
        <v>19.260000000000002</v>
      </c>
      <c r="I70" s="1287">
        <v>0</v>
      </c>
      <c r="J70" s="1287">
        <v>0</v>
      </c>
    </row>
    <row r="71" spans="2:10">
      <c r="B71" s="1287"/>
      <c r="C71" s="1288"/>
      <c r="D71" s="1287"/>
      <c r="E71" s="1287"/>
      <c r="F71" s="1287"/>
      <c r="G71" s="1287"/>
      <c r="H71" s="1287"/>
      <c r="I71" s="1287"/>
      <c r="J71" s="1287"/>
    </row>
    <row r="72" spans="2:10">
      <c r="B72" s="1290"/>
      <c r="C72" s="1291"/>
      <c r="D72" s="1290"/>
      <c r="E72" s="1290"/>
      <c r="F72" s="1290"/>
      <c r="G72" s="1290"/>
      <c r="H72" s="1290"/>
      <c r="I72" s="1290"/>
      <c r="J72" s="1290"/>
    </row>
    <row r="73" spans="2:10">
      <c r="B73" s="1290"/>
      <c r="C73" s="1291"/>
      <c r="D73" s="1290"/>
      <c r="E73" s="1290"/>
      <c r="F73" s="1290"/>
      <c r="G73" s="1290"/>
      <c r="H73" s="1290"/>
      <c r="I73" s="1290"/>
      <c r="J73" s="1290"/>
    </row>
    <row r="74" spans="2:10">
      <c r="B74" s="1290"/>
      <c r="C74" s="1291"/>
      <c r="D74" s="1290"/>
      <c r="E74" s="1290"/>
      <c r="F74" s="1290"/>
      <c r="G74" s="1290"/>
      <c r="H74" s="1290"/>
      <c r="I74" s="1290"/>
      <c r="J74" s="1290"/>
    </row>
    <row r="75" spans="2:10">
      <c r="B75" s="1239"/>
      <c r="C75" s="1239"/>
      <c r="D75" s="1239"/>
      <c r="E75" s="1239"/>
      <c r="F75" s="1239"/>
      <c r="G75" s="1239"/>
      <c r="H75" s="1239"/>
      <c r="I75" s="1239"/>
      <c r="J75" s="1239"/>
    </row>
    <row r="76" spans="2:10">
      <c r="B76" s="1239"/>
      <c r="C76" s="1239"/>
      <c r="D76" s="1239"/>
      <c r="E76" s="1239"/>
      <c r="F76" s="1239"/>
      <c r="G76" s="1239"/>
      <c r="H76" s="1239"/>
      <c r="I76" s="1239"/>
      <c r="J76" s="123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498" t="s">
        <v>949</v>
      </c>
      <c r="B1" s="3498"/>
      <c r="C1" s="3498"/>
      <c r="D1" s="3498"/>
    </row>
    <row r="2" spans="1:4" ht="18">
      <c r="A2" s="3499" t="s">
        <v>933</v>
      </c>
      <c r="B2" s="3499"/>
      <c r="C2" s="3499"/>
      <c r="D2" s="3499"/>
    </row>
    <row r="3" spans="1:4" ht="18.75">
      <c r="A3" s="1506" t="s">
        <v>934</v>
      </c>
      <c r="B3" s="1506" t="s">
        <v>935</v>
      </c>
      <c r="C3" s="1506" t="s">
        <v>936</v>
      </c>
      <c r="D3" s="1506" t="s">
        <v>937</v>
      </c>
    </row>
    <row r="4" spans="1:4" ht="56.25" customHeight="1">
      <c r="A4" s="1507" t="str">
        <f>项目基本情况!B4</f>
        <v>吴薇</v>
      </c>
      <c r="B4" s="1508">
        <f ca="1">项目基本情况!C4</f>
        <v>1419970001</v>
      </c>
      <c r="C4" s="1509"/>
      <c r="D4" s="1510" t="s">
        <v>938</v>
      </c>
    </row>
    <row r="5" spans="1:4" ht="56.25" customHeight="1">
      <c r="A5" s="1507" t="str">
        <f>项目基本情况!D4</f>
        <v>崔锴</v>
      </c>
      <c r="B5" s="1508">
        <f ca="1">项目基本情况!E4</f>
        <v>1120100036</v>
      </c>
      <c r="C5" s="1511"/>
      <c r="D5" s="1510" t="s">
        <v>938</v>
      </c>
    </row>
    <row r="6" spans="1:4" ht="18">
      <c r="A6" s="3499" t="s">
        <v>939</v>
      </c>
      <c r="B6" s="3499"/>
      <c r="C6" s="3499"/>
      <c r="D6" s="3499"/>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00"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2" t="str">
        <f>IF(项目基本情况!B8="抵押","4.本次评估估价师所知悉的法定优先受偿款情况说明如下：","——")</f>
        <v>4.本次评估估价师所知悉的法定优先受偿款情况说明如下：</v>
      </c>
      <c r="B14" s="3497"/>
      <c r="C14" s="3497"/>
      <c r="D14" s="3497"/>
    </row>
    <row r="15" spans="1:4" ht="42" customHeight="1">
      <c r="A15" s="3492"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4" t="s">
        <v>943</v>
      </c>
      <c r="B16" s="3494"/>
      <c r="C16" s="3494"/>
      <c r="D16" s="3494"/>
    </row>
    <row r="17" spans="1:4" ht="144" customHeight="1">
      <c r="A17" s="3494" t="s">
        <v>944</v>
      </c>
      <c r="B17" s="3494"/>
      <c r="C17" s="3494"/>
      <c r="D17" s="3494"/>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3">
        <v>42551</v>
      </c>
      <c r="D31" s="34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6" t="s">
        <v>956</v>
      </c>
      <c r="B15" s="3501" t="s">
        <v>109</v>
      </c>
      <c r="C15" s="3502"/>
    </row>
    <row r="16" spans="1:7" ht="13.5">
      <c r="A16" s="3507"/>
      <c r="B16" s="3501" t="s">
        <v>42</v>
      </c>
      <c r="C16" s="3502"/>
    </row>
    <row r="17" spans="1:3" ht="13.5">
      <c r="A17" s="3507"/>
      <c r="B17" s="3504" t="s">
        <v>957</v>
      </c>
      <c r="C17" s="1529" t="s">
        <v>956</v>
      </c>
    </row>
    <row r="18" spans="1:3" ht="13.5">
      <c r="A18" s="3507"/>
      <c r="B18" s="3504"/>
      <c r="C18" s="1529" t="s">
        <v>958</v>
      </c>
    </row>
    <row r="19" spans="1:3" ht="13.5">
      <c r="A19" s="3507"/>
      <c r="B19" s="3504"/>
      <c r="C19" s="1529" t="s">
        <v>959</v>
      </c>
    </row>
    <row r="20" spans="1:3" ht="13.5">
      <c r="A20" s="3508"/>
      <c r="B20" s="3503" t="s">
        <v>960</v>
      </c>
      <c r="C20" s="3502"/>
    </row>
    <row r="21" spans="1:3" ht="13.5">
      <c r="A21" s="1530" t="s">
        <v>961</v>
      </c>
      <c r="B21" s="1531"/>
      <c r="C21" s="1532"/>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29" t="s">
        <v>967</v>
      </c>
    </row>
    <row r="26" spans="1:3" ht="13.5">
      <c r="A26" s="3505"/>
      <c r="B26" s="3504"/>
      <c r="C26" s="1529" t="s">
        <v>968</v>
      </c>
    </row>
    <row r="27" spans="1:3" ht="13.5">
      <c r="A27" s="3505"/>
      <c r="B27" s="3504"/>
      <c r="C27" s="1529" t="s">
        <v>969</v>
      </c>
    </row>
    <row r="28" spans="1:3" ht="13.5">
      <c r="A28" s="3505"/>
      <c r="B28" s="3504"/>
      <c r="C28" s="1529" t="s">
        <v>970</v>
      </c>
    </row>
    <row r="29" spans="1:3" ht="13.5">
      <c r="A29" s="3505"/>
      <c r="B29" s="3504"/>
      <c r="C29" s="1529" t="s">
        <v>971</v>
      </c>
    </row>
    <row r="30" spans="1:3" ht="13.5">
      <c r="A30" s="3505"/>
      <c r="B30" s="3504"/>
      <c r="C30" s="1529" t="s">
        <v>972</v>
      </c>
    </row>
    <row r="31" spans="1:3" ht="13.5">
      <c r="A31" s="3505"/>
      <c r="B31" s="3504"/>
      <c r="C31" s="1529" t="s">
        <v>973</v>
      </c>
    </row>
    <row r="32" spans="1:3" ht="13.5">
      <c r="A32" s="3505"/>
      <c r="B32" s="3504"/>
      <c r="C32" s="1529" t="s">
        <v>974</v>
      </c>
    </row>
    <row r="33" spans="1:3" ht="13.5">
      <c r="A33" s="3505"/>
      <c r="B33" s="3504"/>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2137</v>
      </c>
      <c r="B2" s="2333">
        <f ca="1">TODAY()</f>
        <v>45579</v>
      </c>
      <c r="C2" s="2334" t="s">
        <v>2138</v>
      </c>
      <c r="D2" s="2334"/>
      <c r="E2" s="2334"/>
      <c r="F2" s="2330"/>
      <c r="G2" s="2330"/>
      <c r="H2" s="2330"/>
    </row>
    <row r="3" spans="1:8" ht="24" customHeight="1">
      <c r="A3" s="2335" t="s">
        <v>2139</v>
      </c>
      <c r="B3" s="2336" t="s">
        <v>2140</v>
      </c>
      <c r="C3" s="2336" t="s">
        <v>2141</v>
      </c>
      <c r="D3" s="2337" t="s">
        <v>2142</v>
      </c>
      <c r="E3" s="2338" t="s">
        <v>2143</v>
      </c>
      <c r="F3" s="1301" t="s">
        <v>2144</v>
      </c>
      <c r="G3" s="2336" t="s">
        <v>2141</v>
      </c>
      <c r="H3" s="2337" t="s">
        <v>2145</v>
      </c>
    </row>
    <row r="4" spans="1:8" ht="24" customHeight="1">
      <c r="A4" s="1301" t="s">
        <v>2146</v>
      </c>
      <c r="B4" s="1301">
        <f ca="1">IF(C4&lt;B2,"已过期",1119970066)</f>
        <v>1119970066</v>
      </c>
      <c r="C4" s="2339">
        <v>45937</v>
      </c>
      <c r="D4" s="2340" t="str">
        <f ca="1">A4&amp;"（注册号："&amp;B4&amp;"）"</f>
        <v>梁津（注册号：1119970066）</v>
      </c>
      <c r="E4" s="2341" t="s">
        <v>2146</v>
      </c>
      <c r="F4" s="1301">
        <f ca="1">IF(G4&lt;B2,"已过期",96010014)</f>
        <v>96010014</v>
      </c>
      <c r="G4" s="2342">
        <v>47118</v>
      </c>
      <c r="H4" s="2343" t="str">
        <f ca="1">E4&amp;"（注册号："&amp;F4&amp;"）"</f>
        <v>梁津（注册号：96010014）</v>
      </c>
    </row>
    <row r="5" spans="1:8" ht="24" customHeight="1">
      <c r="A5" s="1301" t="s">
        <v>2147</v>
      </c>
      <c r="B5" s="1301">
        <f ca="1">IF(C5&lt;B2,"已过期",1119970111)</f>
        <v>1119970111</v>
      </c>
      <c r="C5" s="2339">
        <v>45937</v>
      </c>
      <c r="D5" s="2340" t="str">
        <f t="shared" ref="D5:D15" ca="1" si="0">A5&amp;"（注册号："&amp;B5&amp;"）"</f>
        <v>叶凌（注册号：1119970111）</v>
      </c>
      <c r="E5" s="2341" t="s">
        <v>2147</v>
      </c>
      <c r="F5" s="1301">
        <f ca="1">IF(G5&lt;B2,"已过期",94010078)</f>
        <v>94010078</v>
      </c>
      <c r="G5" s="2342">
        <v>46387</v>
      </c>
      <c r="H5" s="2343" t="str">
        <f t="shared" ref="H5:H16" ca="1" si="1">E5&amp;"（注册号："&amp;F5&amp;"）"</f>
        <v>叶凌（注册号：94010078）</v>
      </c>
    </row>
    <row r="6" spans="1:8" ht="24" customHeight="1">
      <c r="A6" s="1301" t="s">
        <v>2148</v>
      </c>
      <c r="B6" s="1301" t="str">
        <f ca="1">IF(C6&lt;B2,"已过期",1120050019)</f>
        <v>已过期</v>
      </c>
      <c r="C6" s="2339">
        <v>45410</v>
      </c>
      <c r="D6" s="2340" t="str">
        <f t="shared" ca="1" si="0"/>
        <v>王鹏（注册号：已过期）</v>
      </c>
      <c r="E6" s="2341" t="s">
        <v>2148</v>
      </c>
      <c r="F6" s="1301">
        <f ca="1">IF(G6&lt;B2,"已过期",2002110030)</f>
        <v>2002110030</v>
      </c>
      <c r="G6" s="2342">
        <v>46387</v>
      </c>
      <c r="H6" s="2343" t="str">
        <f t="shared" ca="1" si="1"/>
        <v>王鹏（注册号：2002110030）</v>
      </c>
    </row>
    <row r="7" spans="1:8" ht="24" customHeight="1">
      <c r="A7" s="1301" t="s">
        <v>2149</v>
      </c>
      <c r="B7" s="1301">
        <f ca="1">IF(C7&lt;B2,"已过期",1120000080)</f>
        <v>1120000080</v>
      </c>
      <c r="C7" s="2339">
        <v>45937</v>
      </c>
      <c r="D7" s="2340" t="str">
        <f t="shared" ca="1" si="0"/>
        <v>欧红伟（注册号：1120000080）</v>
      </c>
      <c r="E7" s="2341" t="s">
        <v>2149</v>
      </c>
      <c r="F7" s="1301">
        <f ca="1">IF(G7&lt;B2,"已过期",2000110082)</f>
        <v>2000110082</v>
      </c>
      <c r="G7" s="2342">
        <v>46387</v>
      </c>
      <c r="H7" s="2343" t="str">
        <f t="shared" ca="1" si="1"/>
        <v>欧红伟（注册号：2000110082）</v>
      </c>
    </row>
    <row r="8" spans="1:8" ht="24" customHeight="1">
      <c r="A8" s="1301" t="s">
        <v>2150</v>
      </c>
      <c r="B8" s="1301">
        <f ca="1">IF(C8&lt;B2,"已过期",1419970001)</f>
        <v>1419970001</v>
      </c>
      <c r="C8" s="2339">
        <v>45937</v>
      </c>
      <c r="D8" s="2340" t="str">
        <f t="shared" ca="1" si="0"/>
        <v>吴薇（注册号：1419970001）</v>
      </c>
      <c r="E8" s="2341" t="s">
        <v>2150</v>
      </c>
      <c r="F8" s="1301">
        <f ca="1">IF(G8&lt;B2,"已过期",2002110125)</f>
        <v>2002110125</v>
      </c>
      <c r="G8" s="2342">
        <v>47118</v>
      </c>
      <c r="H8" s="2343" t="str">
        <f t="shared" ca="1" si="1"/>
        <v>吴薇（注册号：2002110125）</v>
      </c>
    </row>
    <row r="9" spans="1:8" ht="24" customHeight="1">
      <c r="A9" s="1301" t="s">
        <v>2151</v>
      </c>
      <c r="B9" s="1301">
        <f ca="1">IF(C9&lt;B2,"已过期",1120060040)</f>
        <v>1120060040</v>
      </c>
      <c r="C9" s="2344">
        <v>45592</v>
      </c>
      <c r="D9" s="2340" t="str">
        <f t="shared" ca="1" si="0"/>
        <v>陈颖（注册号：1120060040）</v>
      </c>
      <c r="E9" s="2341" t="s">
        <v>2151</v>
      </c>
      <c r="F9" s="1301">
        <f ca="1">IF(G9&lt;B2,"已过期",2004110096)</f>
        <v>2004110096</v>
      </c>
      <c r="G9" s="2342">
        <v>47118</v>
      </c>
      <c r="H9" s="2343" t="str">
        <f t="shared" ca="1" si="1"/>
        <v>陈颖（注册号：2004110096）</v>
      </c>
    </row>
    <row r="10" spans="1:8" ht="24" customHeight="1">
      <c r="A10" s="1301" t="s">
        <v>2152</v>
      </c>
      <c r="B10" s="1301">
        <f ca="1">IF(C10&lt;B2,"已过期",1120100036)</f>
        <v>1120100036</v>
      </c>
      <c r="C10" s="2344">
        <v>45752</v>
      </c>
      <c r="D10" s="2340" t="str">
        <f t="shared" ca="1" si="0"/>
        <v>崔锴（注册号：1120100036）</v>
      </c>
      <c r="E10" s="2341" t="s">
        <v>2152</v>
      </c>
      <c r="F10" s="1301">
        <f ca="1">IF(G10&lt;B2,"已过期",2010110070)</f>
        <v>2010110070</v>
      </c>
      <c r="G10" s="2342">
        <v>47907</v>
      </c>
      <c r="H10" s="2343" t="str">
        <f t="shared" ca="1" si="1"/>
        <v>崔锴（注册号：2010110070）</v>
      </c>
    </row>
    <row r="11" spans="1:8" ht="24" customHeight="1">
      <c r="A11" s="1301" t="s">
        <v>2153</v>
      </c>
      <c r="B11" s="1301">
        <f ca="1">IF(C11&lt;B2,"已过期",1120070131)</f>
        <v>1120070131</v>
      </c>
      <c r="C11" s="2339">
        <v>45937</v>
      </c>
      <c r="D11" s="2340" t="str">
        <f t="shared" ca="1" si="0"/>
        <v>郑燚（注册号：1120070131）</v>
      </c>
      <c r="E11" s="2341" t="s">
        <v>2153</v>
      </c>
      <c r="F11" s="1301">
        <f ca="1">IF(G11&lt;B2,"已过期",2014110011)</f>
        <v>2014110011</v>
      </c>
      <c r="G11" s="2342">
        <v>49302</v>
      </c>
      <c r="H11" s="2343" t="str">
        <f t="shared" ca="1" si="1"/>
        <v>郑燚（注册号：2014110011）</v>
      </c>
    </row>
    <row r="12" spans="1:8" ht="24" customHeight="1">
      <c r="A12" s="1301" t="s">
        <v>2154</v>
      </c>
      <c r="B12" s="1301">
        <f ca="1">IF(C12&lt;B2,"已过期",1120040230)</f>
        <v>1120040230</v>
      </c>
      <c r="C12" s="2344">
        <v>45937</v>
      </c>
      <c r="D12" s="2340" t="str">
        <f t="shared" ca="1" si="0"/>
        <v>苏海（注册号：1120040230）</v>
      </c>
      <c r="E12" s="2341" t="s">
        <v>2154</v>
      </c>
      <c r="F12" s="1301">
        <f ca="1">IF(G12&lt;B2,"已过期",98030020)</f>
        <v>98030020</v>
      </c>
      <c r="G12" s="2342">
        <v>47118</v>
      </c>
      <c r="H12" s="2343" t="str">
        <f t="shared" ca="1" si="1"/>
        <v>苏海（注册号：98030020）</v>
      </c>
    </row>
    <row r="13" spans="1:8" ht="24" customHeight="1">
      <c r="A13" s="1301" t="s">
        <v>2155</v>
      </c>
      <c r="B13" s="1301" t="str">
        <f ca="1">IF(C13&lt;B2,"已过期",1120020033)</f>
        <v>已过期</v>
      </c>
      <c r="C13" s="2339">
        <v>45375</v>
      </c>
      <c r="D13" s="2340" t="str">
        <f t="shared" ca="1" si="0"/>
        <v>刘敬东（注册号：已过期）</v>
      </c>
      <c r="E13" s="2341" t="s">
        <v>2155</v>
      </c>
      <c r="F13" s="1301">
        <f ca="1">IF(G13&lt;B2,"已过期",2000110137)</f>
        <v>2000110137</v>
      </c>
      <c r="G13" s="2342">
        <v>46387</v>
      </c>
      <c r="H13" s="2343" t="str">
        <f t="shared" ca="1" si="1"/>
        <v>刘敬东（注册号：2000110137）</v>
      </c>
    </row>
    <row r="14" spans="1:8" ht="24" customHeight="1">
      <c r="A14" s="1301" t="s">
        <v>2156</v>
      </c>
      <c r="B14" s="1301" t="str">
        <f ca="1">IF(C14&lt;B2,"已过期",1119980106)</f>
        <v>已过期</v>
      </c>
      <c r="C14" s="2344">
        <v>44969</v>
      </c>
      <c r="D14" s="2340" t="str">
        <f t="shared" ca="1" si="0"/>
        <v>刘俊财（注册号：已过期）</v>
      </c>
      <c r="E14" s="2341" t="s">
        <v>2156</v>
      </c>
      <c r="F14" s="1301">
        <f ca="1">IF(G14&lt;B2,"已过期",96010063)</f>
        <v>96010063</v>
      </c>
      <c r="G14" s="2342">
        <v>47483</v>
      </c>
      <c r="H14" s="2343" t="str">
        <f t="shared" ca="1" si="1"/>
        <v>刘俊财（注册号：96010063）</v>
      </c>
    </row>
    <row r="15" spans="1:8" ht="24" customHeight="1">
      <c r="A15" s="1301" t="s">
        <v>2430</v>
      </c>
      <c r="B15" s="1301">
        <v>1120210056</v>
      </c>
      <c r="C15" s="2344">
        <v>45410</v>
      </c>
      <c r="D15" s="2340" t="str">
        <f t="shared" si="0"/>
        <v>宁小鳗（注册号：1120210056）</v>
      </c>
      <c r="E15" s="2341" t="s">
        <v>2157</v>
      </c>
      <c r="F15" s="1301">
        <f ca="1">IF(G15&lt;B2,"已过期",2011110090)</f>
        <v>2011110090</v>
      </c>
      <c r="G15" s="2342">
        <v>48302</v>
      </c>
      <c r="H15" s="2343" t="str">
        <f t="shared" ca="1" si="1"/>
        <v>赵雯（注册号：2011110090）</v>
      </c>
    </row>
    <row r="16" spans="1:8" s="2346" customFormat="1" ht="24" customHeight="1">
      <c r="A16" s="1301"/>
      <c r="B16" s="1301"/>
      <c r="C16" s="1301"/>
      <c r="D16" s="2340" t="str">
        <f>A16&amp;"（注册号："&amp;B16&amp;"）"</f>
        <v>（注册号：）</v>
      </c>
      <c r="E16" s="2341"/>
      <c r="F16" s="1301"/>
      <c r="G16" s="1301"/>
      <c r="H16" s="2345" t="str">
        <f t="shared" si="1"/>
        <v>（注册号：）</v>
      </c>
    </row>
    <row r="17" spans="1:8" ht="24" customHeight="1">
      <c r="A17" s="3509" t="s">
        <v>2158</v>
      </c>
      <c r="B17" s="3509"/>
      <c r="C17" s="3509"/>
      <c r="D17" s="3509"/>
      <c r="E17" s="3509"/>
      <c r="F17" s="3509"/>
      <c r="G17" s="3509"/>
      <c r="H17" s="3509"/>
    </row>
    <row r="18" spans="1:8" ht="24" customHeight="1">
      <c r="A18" s="3510" t="s">
        <v>2159</v>
      </c>
      <c r="B18" s="3510"/>
      <c r="C18" s="3510"/>
      <c r="D18" s="2337"/>
      <c r="E18" s="3511" t="s">
        <v>2160</v>
      </c>
      <c r="F18" s="3510"/>
      <c r="G18" s="3510"/>
    </row>
    <row r="19" spans="1:8" s="2348" customFormat="1" ht="24" customHeight="1">
      <c r="A19" s="2347" t="s">
        <v>2161</v>
      </c>
      <c r="B19" s="2336" t="s">
        <v>2162</v>
      </c>
      <c r="C19" s="2336" t="s">
        <v>2141</v>
      </c>
      <c r="D19" s="2337"/>
      <c r="E19" s="2341" t="s">
        <v>2161</v>
      </c>
      <c r="F19" s="2336" t="s">
        <v>2162</v>
      </c>
      <c r="G19" s="2336" t="s">
        <v>2141</v>
      </c>
    </row>
    <row r="20" spans="1:8" s="2348" customFormat="1" ht="24" customHeight="1">
      <c r="A20" s="2349" t="s">
        <v>2163</v>
      </c>
      <c r="B20" s="2349" t="s">
        <v>2164</v>
      </c>
      <c r="C20" s="2342">
        <v>45898</v>
      </c>
      <c r="D20" s="2350"/>
      <c r="E20" s="2351" t="s">
        <v>2165</v>
      </c>
      <c r="F20" s="2354" t="s">
        <v>2431</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未售清单</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住宅售价</vt:lpstr>
      <vt:lpstr>比较法-仓储下跃</vt:lpstr>
      <vt:lpstr>仓储售价</vt:lpstr>
      <vt:lpstr>比较法-车位</vt:lpstr>
      <vt:lpstr>土地比较法-工业</vt:lpstr>
      <vt:lpstr>典型户型修正</vt:lpstr>
      <vt:lpstr>基准地价（汇总）</vt:lpstr>
      <vt:lpstr>车位售价</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'比较法-仓储下跃'!Print_Area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2024-10-14T01:18:49Z</dcterms:modified>
</cp:coreProperties>
</file>