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租约" sheetId="81" r:id="rId11"/>
    <sheet name="面积" sheetId="80" state="hidden"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汇总）" sheetId="70" r:id="rId23"/>
    <sheet name="收益法-办公未出租" sheetId="82" r:id="rId24"/>
    <sheet name="收益法-办公出租" sheetId="77" r:id="rId25"/>
    <sheet name="收益法-车库" sheetId="78" r:id="rId26"/>
    <sheet name="收益法 (元)" sheetId="67" state="hidden" r:id="rId27"/>
    <sheet name="收益法-酒店" sheetId="15"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r:id="rId38"/>
    <sheet name="基准地价修正办公" sheetId="79" r:id="rId39"/>
    <sheet name="基准地价修正商业" sheetId="43"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8">估价师及机构信息!$A$1:$F$29</definedName>
    <definedName name="_xlnm.Print_Area" localSheetId="26">'收益法 (元)'!$A$1:$AK$69</definedName>
    <definedName name="_xlnm.Print_Area" localSheetId="24">'收益法-办公出租'!$A$1:$AK$69</definedName>
    <definedName name="_xlnm.Print_Area" localSheetId="23">'收益法-办公未出租'!$A$1:$AK$69</definedName>
    <definedName name="_xlnm.Print_Area" localSheetId="25">'收益法-车库'!$A$1:$AK$69</definedName>
    <definedName name="_xlnm.Print_Area" localSheetId="27">'收益法-酒店'!$A$1:$AK$69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8">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fileRecoveryPr repairLoad="1"/>
</workbook>
</file>

<file path=xl/calcChain.xml><?xml version="1.0" encoding="utf-8"?>
<calcChain xmlns="http://schemas.openxmlformats.org/spreadsheetml/2006/main">
  <c r="B7" i="80" l="1"/>
  <c r="B4" i="80"/>
  <c r="B1" i="80"/>
  <c r="D4" i="73"/>
  <c r="E20" i="79"/>
  <c r="N17" i="79"/>
  <c r="G20" i="79"/>
  <c r="C20" i="79"/>
  <c r="C29" i="79"/>
  <c r="E29" i="79"/>
  <c r="C39" i="79"/>
  <c r="E39" i="79"/>
  <c r="E20" i="43"/>
  <c r="M17" i="43"/>
  <c r="G20" i="43"/>
  <c r="C20" i="43"/>
  <c r="C29" i="43"/>
  <c r="E29" i="43"/>
  <c r="C33" i="43"/>
  <c r="E33" i="43"/>
  <c r="C6" i="68"/>
  <c r="G20" i="6"/>
  <c r="D33" i="43"/>
  <c r="K17" i="3"/>
  <c r="O17" i="3"/>
  <c r="B2" i="49"/>
  <c r="B11" i="49"/>
  <c r="E4" i="4"/>
  <c r="B5" i="62"/>
  <c r="B8" i="49"/>
  <c r="C4" i="4"/>
  <c r="B4" i="62"/>
  <c r="BE17" i="3"/>
  <c r="BC17" i="3"/>
  <c r="BA17" i="3"/>
  <c r="AZ17" i="3"/>
  <c r="AZ5" i="3"/>
  <c r="H17" i="3"/>
  <c r="G17" i="3"/>
  <c r="G5" i="3"/>
  <c r="B3" i="3"/>
  <c r="AY6" i="3"/>
  <c r="D3" i="6"/>
  <c r="E3" i="6"/>
  <c r="D19" i="6"/>
  <c r="K5" i="3"/>
  <c r="F20" i="6"/>
  <c r="E20" i="6"/>
  <c r="D20" i="6"/>
  <c r="D21" i="6"/>
  <c r="D22" i="6"/>
  <c r="D23" i="6"/>
  <c r="D24" i="6"/>
  <c r="D25" i="6"/>
  <c r="D26" i="6"/>
  <c r="D27" i="6"/>
  <c r="D28" i="6"/>
  <c r="D29" i="6"/>
  <c r="D30" i="6"/>
  <c r="D31" i="6"/>
  <c r="BE10" i="3"/>
  <c r="BC5" i="3"/>
  <c r="E8" i="6"/>
  <c r="F27" i="6"/>
  <c r="F31" i="6"/>
  <c r="I6" i="6"/>
  <c r="G3" i="79"/>
  <c r="E22" i="79"/>
  <c r="G22" i="79"/>
  <c r="F22" i="79"/>
  <c r="H22" i="79"/>
  <c r="D22" i="79"/>
  <c r="C21" i="79"/>
  <c r="G3" i="43"/>
  <c r="E22" i="43"/>
  <c r="G22" i="43"/>
  <c r="F22" i="43"/>
  <c r="H22" i="43"/>
  <c r="D22" i="43"/>
  <c r="C21" i="43"/>
  <c r="D29" i="43"/>
  <c r="C7" i="68"/>
  <c r="C5" i="68"/>
  <c r="C20" i="68"/>
  <c r="D5" i="73"/>
  <c r="G1" i="73"/>
  <c r="B40" i="1"/>
  <c r="F22" i="68"/>
  <c r="C23" i="68"/>
  <c r="C24" i="68"/>
  <c r="C25" i="68"/>
  <c r="C22" i="68"/>
  <c r="C26" i="68"/>
  <c r="D22" i="68"/>
  <c r="F34" i="68"/>
  <c r="K6" i="1"/>
  <c r="M6" i="1"/>
  <c r="K7" i="1"/>
  <c r="M7" i="1"/>
  <c r="K8" i="1"/>
  <c r="M8" i="1"/>
  <c r="K9" i="1"/>
  <c r="M9" i="1"/>
  <c r="K10" i="1"/>
  <c r="M10" i="1"/>
  <c r="K11" i="1"/>
  <c r="M11" i="1"/>
  <c r="K12" i="1"/>
  <c r="M12" i="1"/>
  <c r="K13" i="1"/>
  <c r="M13" i="1"/>
  <c r="K14" i="1"/>
  <c r="M14" i="1"/>
  <c r="M16" i="1"/>
  <c r="C34" i="68"/>
  <c r="C35" i="68"/>
  <c r="C36" i="68"/>
  <c r="BE11" i="3"/>
  <c r="E5" i="6"/>
  <c r="D9" i="68"/>
  <c r="E6" i="6"/>
  <c r="D10" i="68"/>
  <c r="D19" i="68"/>
  <c r="D37" i="68"/>
  <c r="C37" i="68"/>
  <c r="C38" i="68"/>
  <c r="C33" i="68"/>
  <c r="C39" i="68"/>
  <c r="C42" i="68"/>
  <c r="C43" i="68"/>
  <c r="C41" i="68"/>
  <c r="C44" i="68"/>
  <c r="D41" i="68"/>
  <c r="F6" i="78"/>
  <c r="F8" i="78"/>
  <c r="F7" i="78"/>
  <c r="F9" i="78"/>
  <c r="C6" i="78"/>
  <c r="F4" i="73"/>
  <c r="I1" i="73"/>
  <c r="B39" i="1"/>
  <c r="F11" i="78"/>
  <c r="C10" i="78"/>
  <c r="C5" i="78"/>
  <c r="C32" i="78"/>
  <c r="F33" i="78"/>
  <c r="C33" i="78"/>
  <c r="BA5" i="3"/>
  <c r="E27" i="6"/>
  <c r="K19" i="6"/>
  <c r="L19" i="6"/>
  <c r="M19" i="6"/>
  <c r="I19" i="6"/>
  <c r="H19" i="6"/>
  <c r="R19" i="6"/>
  <c r="R6" i="1"/>
  <c r="F35" i="78"/>
  <c r="C34" i="78"/>
  <c r="C31" i="78"/>
  <c r="S6" i="1"/>
  <c r="T6" i="1"/>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6" i="1"/>
  <c r="F41" i="78"/>
  <c r="C40" i="78"/>
  <c r="M6" i="78"/>
  <c r="M8" i="78"/>
  <c r="M7" i="78"/>
  <c r="M9" i="78"/>
  <c r="J6" i="78"/>
  <c r="M11" i="78"/>
  <c r="J10" i="78"/>
  <c r="J5" i="78"/>
  <c r="J26" i="78"/>
  <c r="J29" i="78"/>
  <c r="J57" i="78"/>
  <c r="J55" i="78"/>
  <c r="J58" i="78"/>
  <c r="J59" i="78"/>
  <c r="J60" i="78"/>
  <c r="L46" i="78"/>
  <c r="B2" i="78"/>
  <c r="AO6" i="1"/>
  <c r="B6" i="70"/>
  <c r="F6" i="15"/>
  <c r="F8" i="15"/>
  <c r="F7" i="15"/>
  <c r="F9" i="15"/>
  <c r="C6" i="15"/>
  <c r="F11" i="15"/>
  <c r="C10" i="15"/>
  <c r="C5" i="15"/>
  <c r="C32" i="15"/>
  <c r="B6" i="80"/>
  <c r="C1" i="80"/>
  <c r="D1" i="80"/>
  <c r="AJ7" i="1"/>
  <c r="F33" i="15"/>
  <c r="C33" i="15"/>
  <c r="K20" i="6"/>
  <c r="L20" i="6"/>
  <c r="M20" i="6"/>
  <c r="I20" i="6"/>
  <c r="H20" i="6"/>
  <c r="R20" i="6"/>
  <c r="R7" i="1"/>
  <c r="F35" i="15"/>
  <c r="C34" i="15"/>
  <c r="C31" i="15"/>
  <c r="S7" i="1"/>
  <c r="T7"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AO7" i="1"/>
  <c r="B7" i="70"/>
  <c r="F6" i="77"/>
  <c r="F8" i="77"/>
  <c r="F7" i="77"/>
  <c r="F9" i="77"/>
  <c r="C6" i="77"/>
  <c r="F11" i="77"/>
  <c r="C10" i="77"/>
  <c r="C5" i="77"/>
  <c r="C32" i="77"/>
  <c r="C2" i="80"/>
  <c r="D2" i="80"/>
  <c r="AJ8" i="1"/>
  <c r="F33" i="77"/>
  <c r="C33" i="77"/>
  <c r="K21" i="6"/>
  <c r="L21" i="6"/>
  <c r="M21" i="6"/>
  <c r="I21" i="6"/>
  <c r="H21" i="6"/>
  <c r="R21" i="6"/>
  <c r="R8" i="1"/>
  <c r="F35" i="77"/>
  <c r="C34" i="77"/>
  <c r="C31" i="77"/>
  <c r="S8" i="1"/>
  <c r="T8" i="1"/>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18" i="77"/>
  <c r="J19" i="77"/>
  <c r="M21" i="77"/>
  <c r="J20" i="77"/>
  <c r="J17" i="77"/>
  <c r="J14" i="77"/>
  <c r="M22" i="77"/>
  <c r="J22" i="77"/>
  <c r="J15" i="77"/>
  <c r="J13" i="77"/>
  <c r="M23" i="77"/>
  <c r="J23" i="77"/>
  <c r="M24" i="77"/>
  <c r="J24" i="77"/>
  <c r="J16" i="77"/>
  <c r="J25" i="77"/>
  <c r="M28" i="77"/>
  <c r="M26" i="77"/>
  <c r="L48" i="77"/>
  <c r="J53" i="77"/>
  <c r="F1" i="77"/>
  <c r="AE8" i="1"/>
  <c r="AG8" i="1"/>
  <c r="M27" i="77"/>
  <c r="J26" i="77"/>
  <c r="J29" i="77"/>
  <c r="J57" i="77"/>
  <c r="J55" i="77"/>
  <c r="J58" i="77"/>
  <c r="J59" i="77"/>
  <c r="J60" i="77"/>
  <c r="L46" i="77"/>
  <c r="B2" i="77"/>
  <c r="AO8" i="1"/>
  <c r="B8" i="70"/>
  <c r="F6" i="82"/>
  <c r="F8" i="82"/>
  <c r="F7" i="82"/>
  <c r="F9" i="82"/>
  <c r="C6" i="82"/>
  <c r="F11" i="82"/>
  <c r="C10" i="82"/>
  <c r="C5" i="82"/>
  <c r="C32" i="82"/>
  <c r="C3" i="80"/>
  <c r="D3" i="80"/>
  <c r="AJ9" i="1"/>
  <c r="F33" i="82"/>
  <c r="C33" i="82"/>
  <c r="K22" i="6"/>
  <c r="L22" i="6"/>
  <c r="M22" i="6"/>
  <c r="I22" i="6"/>
  <c r="H22" i="6"/>
  <c r="R22" i="6"/>
  <c r="R9" i="1"/>
  <c r="F35" i="82"/>
  <c r="C34" i="82"/>
  <c r="C31" i="82"/>
  <c r="S9" i="1"/>
  <c r="T9" i="1"/>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9" i="1"/>
  <c r="F41" i="82"/>
  <c r="C40" i="82"/>
  <c r="M6" i="82"/>
  <c r="M8" i="82"/>
  <c r="M7" i="82"/>
  <c r="M9" i="82"/>
  <c r="J6" i="82"/>
  <c r="M11" i="82"/>
  <c r="J10" i="82"/>
  <c r="J5" i="82"/>
  <c r="J26" i="82"/>
  <c r="J29" i="82"/>
  <c r="J57" i="82"/>
  <c r="J55" i="82"/>
  <c r="J58" i="82"/>
  <c r="J59" i="82"/>
  <c r="J60" i="82"/>
  <c r="L46" i="82"/>
  <c r="B2" i="82"/>
  <c r="AO9" i="1"/>
  <c r="B9" i="70"/>
  <c r="AO10" i="1"/>
  <c r="B10" i="70"/>
  <c r="AO11" i="1"/>
  <c r="B11" i="70"/>
  <c r="AO12" i="1"/>
  <c r="B12" i="70"/>
  <c r="AO13" i="1"/>
  <c r="B13" i="70"/>
  <c r="B2" i="70"/>
  <c r="D19" i="9"/>
  <c r="K4" i="4"/>
  <c r="B46" i="48"/>
  <c r="Z8" i="1"/>
  <c r="D29" i="79"/>
  <c r="G1" i="82"/>
  <c r="F15" i="82"/>
  <c r="F17" i="82"/>
  <c r="F18" i="82"/>
  <c r="F20" i="82"/>
  <c r="F23" i="82"/>
  <c r="F21" i="82"/>
  <c r="F28" i="82"/>
  <c r="C28" i="82"/>
  <c r="F32" i="82"/>
  <c r="F34" i="82"/>
  <c r="C83" i="82"/>
  <c r="C82" i="82"/>
  <c r="C76" i="82"/>
  <c r="C75" i="82"/>
  <c r="C80" i="82"/>
  <c r="C79" i="82"/>
  <c r="M18" i="82"/>
  <c r="J18" i="82"/>
  <c r="M19" i="82"/>
  <c r="J19" i="82"/>
  <c r="M20" i="82"/>
  <c r="M21" i="82"/>
  <c r="J20" i="82"/>
  <c r="J17" i="82"/>
  <c r="J14" i="82"/>
  <c r="M22" i="82"/>
  <c r="J22" i="82"/>
  <c r="J15" i="82"/>
  <c r="J13" i="82"/>
  <c r="M23" i="82"/>
  <c r="J23" i="82"/>
  <c r="M24" i="82"/>
  <c r="J24" i="82"/>
  <c r="J16" i="82"/>
  <c r="J25" i="82"/>
  <c r="M28" i="82"/>
  <c r="M26" i="82"/>
  <c r="M27" i="82"/>
  <c r="Q65" i="82"/>
  <c r="M47"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D24" i="82"/>
  <c r="D23" i="82"/>
  <c r="D22" i="82"/>
  <c r="M17" i="82"/>
  <c r="B3" i="82"/>
  <c r="C4" i="80"/>
  <c r="D4" i="80"/>
  <c r="B3" i="80"/>
  <c r="B2" i="80"/>
  <c r="B111" i="81"/>
  <c r="AF8" i="1"/>
  <c r="N9" i="1"/>
  <c r="B110" i="81"/>
  <c r="F22" i="6"/>
  <c r="F21" i="6"/>
  <c r="U8" i="1"/>
  <c r="K110" i="81"/>
  <c r="P106" i="81"/>
  <c r="P103" i="81"/>
  <c r="P98" i="81"/>
  <c r="P95" i="81"/>
  <c r="P92" i="81"/>
  <c r="P87" i="81"/>
  <c r="P84" i="81"/>
  <c r="P81" i="81"/>
  <c r="P78" i="81"/>
  <c r="P75" i="81"/>
  <c r="P72" i="81"/>
  <c r="P69" i="81"/>
  <c r="P66" i="81"/>
  <c r="P62" i="81"/>
  <c r="P58" i="81"/>
  <c r="P55" i="81"/>
  <c r="P52" i="81"/>
  <c r="P49" i="81"/>
  <c r="P46" i="81"/>
  <c r="P43" i="81"/>
  <c r="P40" i="81"/>
  <c r="P36" i="81"/>
  <c r="P32" i="81"/>
  <c r="P28" i="81"/>
  <c r="P24" i="81"/>
  <c r="P19" i="81"/>
  <c r="P14" i="81"/>
  <c r="P9" i="81"/>
  <c r="O33" i="81"/>
  <c r="O98" i="81"/>
  <c r="O87" i="81"/>
  <c r="O95" i="81"/>
  <c r="O92" i="81"/>
  <c r="O84" i="81"/>
  <c r="O63" i="81"/>
  <c r="O37" i="81"/>
  <c r="O29" i="81"/>
  <c r="O24" i="81"/>
  <c r="O19" i="81"/>
  <c r="O14" i="81"/>
  <c r="N98" i="81"/>
  <c r="M109" i="81"/>
  <c r="G40" i="81"/>
  <c r="G104" i="81"/>
  <c r="J40" i="81"/>
  <c r="J104" i="81"/>
  <c r="J106" i="81"/>
  <c r="K108" i="81"/>
  <c r="J108" i="81"/>
  <c r="M103" i="81"/>
  <c r="N9" i="81"/>
  <c r="N14" i="81"/>
  <c r="N19" i="81"/>
  <c r="N24" i="81"/>
  <c r="N25" i="81"/>
  <c r="N28" i="81"/>
  <c r="N29" i="81"/>
  <c r="N32" i="81"/>
  <c r="N36" i="81"/>
  <c r="N40" i="81"/>
  <c r="N43" i="81"/>
  <c r="N46" i="81"/>
  <c r="N49" i="81"/>
  <c r="N52" i="81"/>
  <c r="N55" i="81"/>
  <c r="N58" i="81"/>
  <c r="N62" i="81"/>
  <c r="N66" i="81"/>
  <c r="N69" i="81"/>
  <c r="N72" i="81"/>
  <c r="N75" i="81"/>
  <c r="N78" i="81"/>
  <c r="N81" i="81"/>
  <c r="N84" i="81"/>
  <c r="N87" i="81"/>
  <c r="N92" i="81"/>
  <c r="N95" i="81"/>
  <c r="N103" i="81"/>
  <c r="M104" i="81"/>
  <c r="H104" i="81"/>
  <c r="I104" i="81"/>
  <c r="K95" i="81"/>
  <c r="K92" i="81"/>
  <c r="K87" i="81"/>
  <c r="K84" i="81"/>
  <c r="K81" i="81"/>
  <c r="K78" i="81"/>
  <c r="K75" i="81"/>
  <c r="K72" i="81"/>
  <c r="K69" i="81"/>
  <c r="K66" i="81"/>
  <c r="K62" i="81"/>
  <c r="K58" i="81"/>
  <c r="K55" i="81"/>
  <c r="K52" i="81"/>
  <c r="K49" i="81"/>
  <c r="K46" i="81"/>
  <c r="K43" i="81"/>
  <c r="K40" i="81"/>
  <c r="K36" i="81"/>
  <c r="K32" i="81"/>
  <c r="K28" i="81"/>
  <c r="K24" i="81"/>
  <c r="K19" i="81"/>
  <c r="K14" i="81"/>
  <c r="O9" i="81"/>
  <c r="K9" i="81"/>
  <c r="AJ6" i="1"/>
  <c r="C6" i="80"/>
  <c r="A23" i="3"/>
  <c r="AH6" i="1"/>
  <c r="C27" i="66"/>
  <c r="C32" i="66"/>
  <c r="E26" i="66"/>
  <c r="U7" i="1"/>
  <c r="C30" i="66"/>
  <c r="I20" i="66"/>
  <c r="I15" i="66"/>
  <c r="Y7" i="1"/>
  <c r="Y8" i="1"/>
  <c r="Y6" i="1"/>
  <c r="E41" i="66"/>
  <c r="C31" i="66"/>
  <c r="F15" i="4"/>
  <c r="F8" i="1"/>
  <c r="F9" i="1"/>
  <c r="I20" i="79"/>
  <c r="E21" i="6"/>
  <c r="BB14" i="3"/>
  <c r="BA14" i="3"/>
  <c r="BP14" i="3"/>
  <c r="BL14" i="3"/>
  <c r="AZ14" i="3"/>
  <c r="BB15" i="3"/>
  <c r="BA15" i="3"/>
  <c r="BP15" i="3"/>
  <c r="BL15" i="3"/>
  <c r="AZ15" i="3"/>
  <c r="H14" i="3"/>
  <c r="AC14" i="3"/>
  <c r="G14" i="3"/>
  <c r="H15" i="3"/>
  <c r="AC15" i="3"/>
  <c r="G15" i="3"/>
  <c r="E22" i="6"/>
  <c r="I5" i="3"/>
  <c r="G19" i="6"/>
  <c r="E19" i="6"/>
  <c r="BP5" i="3"/>
  <c r="G29" i="6"/>
  <c r="E29" i="6"/>
  <c r="G17" i="79"/>
  <c r="H17" i="79"/>
  <c r="I17" i="79"/>
  <c r="J17" i="79"/>
  <c r="C16" i="79"/>
  <c r="C5" i="79"/>
  <c r="C24" i="79"/>
  <c r="D39" i="79"/>
  <c r="E15" i="4"/>
  <c r="F7" i="1"/>
  <c r="I20" i="43"/>
  <c r="G17" i="43"/>
  <c r="H17" i="43"/>
  <c r="I17" i="43"/>
  <c r="J17" i="43"/>
  <c r="C16" i="43"/>
  <c r="C5" i="43"/>
  <c r="C24" i="43"/>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G2"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B88" i="79"/>
  <c r="M87" i="79"/>
  <c r="N87" i="79"/>
  <c r="K87" i="79"/>
  <c r="J87" i="79"/>
  <c r="H87" i="79"/>
  <c r="D87" i="79"/>
  <c r="M86" i="79"/>
  <c r="N86" i="79"/>
  <c r="K86" i="79"/>
  <c r="J86" i="79"/>
  <c r="H86" i="79"/>
  <c r="D86" i="79"/>
  <c r="B86" i="79"/>
  <c r="M85" i="79"/>
  <c r="N85" i="79"/>
  <c r="K85" i="79"/>
  <c r="J85" i="79"/>
  <c r="H85" i="79"/>
  <c r="D85" i="79"/>
  <c r="B85" i="79"/>
  <c r="M84" i="79"/>
  <c r="N84" i="79"/>
  <c r="K84" i="79"/>
  <c r="J84" i="79"/>
  <c r="H84" i="79"/>
  <c r="D84" i="79"/>
  <c r="B84" i="79"/>
  <c r="M83" i="79"/>
  <c r="N83" i="79"/>
  <c r="K83" i="79"/>
  <c r="J83" i="79"/>
  <c r="H83" i="79"/>
  <c r="D83" i="79"/>
  <c r="B83" i="79"/>
  <c r="M82" i="79"/>
  <c r="N82" i="79"/>
  <c r="K82" i="79"/>
  <c r="J82" i="79"/>
  <c r="H82" i="79"/>
  <c r="D82" i="79"/>
  <c r="B82" i="79"/>
  <c r="M81" i="79"/>
  <c r="N81" i="79"/>
  <c r="K81" i="79"/>
  <c r="J81" i="79"/>
  <c r="H81" i="79"/>
  <c r="D81" i="79"/>
  <c r="E81" i="79"/>
  <c r="G15" i="20"/>
  <c r="B81" i="79"/>
  <c r="B79" i="79"/>
  <c r="M78" i="79"/>
  <c r="N78" i="79"/>
  <c r="K78" i="79"/>
  <c r="J78" i="79"/>
  <c r="F70" i="79"/>
  <c r="H78" i="79"/>
  <c r="D78" i="79"/>
  <c r="M77" i="79"/>
  <c r="N77" i="79"/>
  <c r="K77" i="79"/>
  <c r="J77" i="79"/>
  <c r="H77" i="79"/>
  <c r="D77" i="79"/>
  <c r="C20" i="20"/>
  <c r="B77" i="79"/>
  <c r="M76" i="79"/>
  <c r="N76" i="79"/>
  <c r="K76" i="79"/>
  <c r="J76" i="79"/>
  <c r="H76" i="79"/>
  <c r="D76" i="79"/>
  <c r="M75" i="79"/>
  <c r="N75" i="79"/>
  <c r="K75" i="79"/>
  <c r="J75" i="79"/>
  <c r="H75" i="79"/>
  <c r="D75" i="79"/>
  <c r="C22" i="20"/>
  <c r="B75" i="79"/>
  <c r="M74" i="79"/>
  <c r="N74" i="79"/>
  <c r="K74" i="79"/>
  <c r="J74" i="79"/>
  <c r="H74" i="79"/>
  <c r="D74" i="79"/>
  <c r="C21" i="20"/>
  <c r="B74" i="79"/>
  <c r="M73" i="79"/>
  <c r="N73" i="79"/>
  <c r="K73" i="79"/>
  <c r="J73" i="79"/>
  <c r="H73" i="79"/>
  <c r="D73" i="79"/>
  <c r="B73" i="79"/>
  <c r="M72" i="79"/>
  <c r="N72" i="79"/>
  <c r="K72" i="79"/>
  <c r="J72" i="79"/>
  <c r="H72" i="79"/>
  <c r="D72" i="79"/>
  <c r="B72" i="79"/>
  <c r="M71" i="79"/>
  <c r="N71" i="79"/>
  <c r="K71" i="79"/>
  <c r="J71" i="79"/>
  <c r="H71" i="79"/>
  <c r="D71" i="79"/>
  <c r="C18" i="20"/>
  <c r="B71" i="79"/>
  <c r="M70" i="79"/>
  <c r="N70" i="79"/>
  <c r="K70" i="79"/>
  <c r="J70" i="79"/>
  <c r="H70" i="79"/>
  <c r="D70" i="79"/>
  <c r="E70" i="79"/>
  <c r="C15" i="20"/>
  <c r="B70" i="79"/>
  <c r="B68" i="79"/>
  <c r="M67" i="79"/>
  <c r="N67" i="79"/>
  <c r="K67" i="79"/>
  <c r="J67" i="79"/>
  <c r="I2" i="79"/>
  <c r="N2"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C17" i="20"/>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M2" i="79"/>
  <c r="C6" i="79"/>
  <c r="C7" i="79"/>
  <c r="C17" i="79"/>
  <c r="G19" i="79"/>
  <c r="M20" i="79"/>
  <c r="M19" i="79"/>
  <c r="C19" i="79"/>
  <c r="M17" i="79"/>
  <c r="J20" i="79"/>
  <c r="F39" i="79"/>
  <c r="G39" i="79"/>
  <c r="H39" i="79"/>
  <c r="I39" i="79"/>
  <c r="F38" i="79"/>
  <c r="C38" i="79"/>
  <c r="G38" i="79"/>
  <c r="H38" i="79"/>
  <c r="I38" i="79"/>
  <c r="E38" i="79"/>
  <c r="F37" i="79"/>
  <c r="C37" i="79"/>
  <c r="G37" i="79"/>
  <c r="H37" i="79"/>
  <c r="I37" i="79"/>
  <c r="E37" i="79"/>
  <c r="D5" i="79"/>
  <c r="F36" i="79"/>
  <c r="C36" i="79"/>
  <c r="G36" i="79"/>
  <c r="H36" i="79"/>
  <c r="I36" i="79"/>
  <c r="E36" i="79"/>
  <c r="F35" i="79"/>
  <c r="C35" i="79"/>
  <c r="G35" i="79"/>
  <c r="H35" i="79"/>
  <c r="I35" i="79"/>
  <c r="E35" i="79"/>
  <c r="F34" i="79"/>
  <c r="C34" i="79"/>
  <c r="G34" i="79"/>
  <c r="H34" i="79"/>
  <c r="I34" i="79"/>
  <c r="E34" i="79"/>
  <c r="F33" i="79"/>
  <c r="C33" i="79"/>
  <c r="G33" i="79"/>
  <c r="H33" i="79"/>
  <c r="I33" i="79"/>
  <c r="E33" i="79"/>
  <c r="C18" i="79"/>
  <c r="C30" i="79"/>
  <c r="E30" i="79"/>
  <c r="C27" i="79"/>
  <c r="C26" i="79"/>
  <c r="P25" i="79"/>
  <c r="P24" i="79"/>
  <c r="P23" i="79"/>
  <c r="C23" i="79"/>
  <c r="P22" i="79"/>
  <c r="J22" i="79"/>
  <c r="P21" i="79"/>
  <c r="O19" i="79"/>
  <c r="I19" i="79"/>
  <c r="P17" i="79"/>
  <c r="O17" i="79"/>
  <c r="E17" i="79"/>
  <c r="T16" i="79"/>
  <c r="V16" i="79"/>
  <c r="T15" i="79"/>
  <c r="V15" i="79"/>
  <c r="F15" i="79"/>
  <c r="E15" i="79"/>
  <c r="D15" i="79"/>
  <c r="C15" i="79"/>
  <c r="T14" i="79"/>
  <c r="V14"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T13" i="79"/>
  <c r="V13" i="79"/>
  <c r="T12" i="79"/>
  <c r="V12" i="79"/>
  <c r="N12" i="79"/>
  <c r="M12" i="79"/>
  <c r="C12" i="79"/>
  <c r="T11" i="79"/>
  <c r="V11" i="79"/>
  <c r="N11" i="79"/>
  <c r="M11" i="79"/>
  <c r="C10" i="79"/>
  <c r="C11" i="79"/>
  <c r="E11" i="79"/>
  <c r="AJ10" i="79"/>
  <c r="AI10" i="79"/>
  <c r="AH10" i="79"/>
  <c r="AG10" i="79"/>
  <c r="AF10" i="79"/>
  <c r="AE10" i="79"/>
  <c r="AD10" i="79"/>
  <c r="AC10" i="79"/>
  <c r="AB10" i="79"/>
  <c r="AA10" i="79"/>
  <c r="Z10" i="79"/>
  <c r="Y10" i="79"/>
  <c r="T10" i="79"/>
  <c r="V10" i="79"/>
  <c r="N10" i="79"/>
  <c r="M10" i="79"/>
  <c r="E10" i="79"/>
  <c r="T9" i="79"/>
  <c r="V9" i="79"/>
  <c r="N9" i="79"/>
  <c r="M9" i="79"/>
  <c r="E9" i="79"/>
  <c r="C9" i="79"/>
  <c r="T8" i="79"/>
  <c r="V8" i="79"/>
  <c r="N8" i="79"/>
  <c r="M8" i="79"/>
  <c r="E8" i="79"/>
  <c r="Z7" i="79"/>
  <c r="X7" i="79"/>
  <c r="S7" i="79"/>
  <c r="T7" i="79"/>
  <c r="V7" i="79"/>
  <c r="N7" i="79"/>
  <c r="M7" i="79"/>
  <c r="A7" i="79"/>
  <c r="S6" i="79"/>
  <c r="T6" i="79"/>
  <c r="V6" i="79"/>
  <c r="N6" i="79"/>
  <c r="M6" i="79"/>
  <c r="S5" i="79"/>
  <c r="T5" i="79"/>
  <c r="V5" i="79"/>
  <c r="N5" i="79"/>
  <c r="M5" i="79"/>
  <c r="S4" i="79"/>
  <c r="T4" i="79"/>
  <c r="V4" i="79"/>
  <c r="N4" i="79"/>
  <c r="M4" i="79"/>
  <c r="S3" i="79"/>
  <c r="T3" i="79"/>
  <c r="V3" i="79"/>
  <c r="N3" i="79"/>
  <c r="M3" i="79"/>
  <c r="B2" i="79"/>
  <c r="D1" i="79"/>
  <c r="B3" i="79"/>
  <c r="S2" i="79"/>
  <c r="T2" i="79"/>
  <c r="V2" i="79"/>
  <c r="N1" i="79"/>
  <c r="M1" i="79"/>
  <c r="G1" i="78"/>
  <c r="F15" i="78"/>
  <c r="F17" i="78"/>
  <c r="F18" i="78"/>
  <c r="F20" i="78"/>
  <c r="F23" i="78"/>
  <c r="F21" i="78"/>
  <c r="F28" i="78"/>
  <c r="C28" i="78"/>
  <c r="F32" i="78"/>
  <c r="F34" i="78"/>
  <c r="A9" i="1"/>
  <c r="M47" i="78"/>
  <c r="G15" i="4"/>
  <c r="F6" i="1"/>
  <c r="J50" i="78"/>
  <c r="J51" i="78"/>
  <c r="C83" i="78"/>
  <c r="C82" i="78"/>
  <c r="C76" i="78"/>
  <c r="C75" i="78"/>
  <c r="C80" i="78"/>
  <c r="C79" i="78"/>
  <c r="Q65" i="78"/>
  <c r="L51" i="78"/>
  <c r="L57" i="78"/>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A8" i="1"/>
  <c r="G1" i="77"/>
  <c r="F15" i="77"/>
  <c r="F17" i="77"/>
  <c r="F18" i="77"/>
  <c r="F20" i="77"/>
  <c r="F23" i="77"/>
  <c r="F21" i="77"/>
  <c r="F28" i="77"/>
  <c r="C28" i="77"/>
  <c r="F32" i="77"/>
  <c r="F34" i="77"/>
  <c r="M47" i="77"/>
  <c r="G1" i="15"/>
  <c r="C83" i="77"/>
  <c r="C82" i="77"/>
  <c r="C76" i="77"/>
  <c r="C75" i="77"/>
  <c r="C80" i="77"/>
  <c r="C79" i="77"/>
  <c r="M19" i="77"/>
  <c r="Q65" i="77"/>
  <c r="J50" i="77"/>
  <c r="J51" i="77"/>
  <c r="L51" i="77"/>
  <c r="L57" i="77"/>
  <c r="D8"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N59" i="77"/>
  <c r="M59" i="77"/>
  <c r="F59" i="77"/>
  <c r="Q58" i="77"/>
  <c r="L56" i="77"/>
  <c r="I54" i="77"/>
  <c r="Q47" i="77"/>
  <c r="Q48" i="77"/>
  <c r="Q53" i="77"/>
  <c r="Q52" i="77"/>
  <c r="Q51" i="77"/>
  <c r="Q50" i="77"/>
  <c r="Q49" i="77"/>
  <c r="D46" i="77"/>
  <c r="C46" i="77"/>
  <c r="C43" i="77"/>
  <c r="F31" i="77"/>
  <c r="M29" i="77"/>
  <c r="M18" i="77"/>
  <c r="M20" i="77"/>
  <c r="D24" i="77"/>
  <c r="D23" i="77"/>
  <c r="D22" i="77"/>
  <c r="M17" i="77"/>
  <c r="B3" i="77"/>
  <c r="N7" i="1"/>
  <c r="N8" i="1"/>
  <c r="N6" i="1"/>
  <c r="C1" i="73"/>
  <c r="L1" i="73"/>
  <c r="F7" i="73"/>
  <c r="J1" i="73"/>
  <c r="D7" i="73"/>
  <c r="F6" i="73"/>
  <c r="D6" i="73"/>
  <c r="F5" i="73"/>
  <c r="F3" i="73"/>
  <c r="D3" i="73"/>
  <c r="B22" i="1"/>
  <c r="E1" i="73"/>
  <c r="K1" i="73"/>
  <c r="F22" i="11"/>
  <c r="B2" i="1"/>
  <c r="C42" i="1"/>
  <c r="B24" i="1"/>
  <c r="F34" i="11"/>
  <c r="A6" i="1"/>
  <c r="A7" i="1"/>
  <c r="C34" i="11"/>
  <c r="F35" i="11"/>
  <c r="C35" i="11"/>
  <c r="C36" i="11"/>
  <c r="F38" i="11"/>
  <c r="C38" i="11"/>
  <c r="E37" i="11"/>
  <c r="D37" i="11"/>
  <c r="C37" i="11"/>
  <c r="C33" i="11"/>
  <c r="C42" i="11"/>
  <c r="F20" i="11"/>
  <c r="C39" i="11"/>
  <c r="C43" i="11"/>
  <c r="C41" i="11"/>
  <c r="F21" i="11"/>
  <c r="C40" i="11"/>
  <c r="C44" i="11"/>
  <c r="D41" i="11"/>
  <c r="B43" i="1"/>
  <c r="B41" i="1"/>
  <c r="F30" i="11"/>
  <c r="C48" i="11"/>
  <c r="N16" i="1"/>
  <c r="F50" i="11"/>
  <c r="B23" i="1"/>
  <c r="F7" i="11"/>
  <c r="C7" i="11"/>
  <c r="C5" i="11"/>
  <c r="C23" i="11"/>
  <c r="B31" i="1"/>
  <c r="E19" i="11"/>
  <c r="D19" i="11"/>
  <c r="C19" i="11"/>
  <c r="C24" i="11"/>
  <c r="C20" i="11"/>
  <c r="C25" i="11"/>
  <c r="C22" i="11"/>
  <c r="C26" i="11"/>
  <c r="D22" i="11"/>
  <c r="C21" i="11"/>
  <c r="C30" i="11"/>
  <c r="G41" i="11"/>
  <c r="F36" i="11"/>
  <c r="G22" i="11"/>
  <c r="E10" i="11"/>
  <c r="D10" i="11"/>
  <c r="C10" i="11"/>
  <c r="E9" i="11"/>
  <c r="D9" i="11"/>
  <c r="C9" i="11"/>
  <c r="C8"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19" i="43"/>
  <c r="M20" i="43"/>
  <c r="M19" i="43"/>
  <c r="C19" i="43"/>
  <c r="J20" i="43"/>
  <c r="G2" i="43"/>
  <c r="I2" i="43"/>
  <c r="M2" i="43"/>
  <c r="C6" i="43"/>
  <c r="C17" i="43"/>
  <c r="C10" i="43"/>
  <c r="C11" i="43"/>
  <c r="E8" i="43"/>
  <c r="E9" i="43"/>
  <c r="E10" i="43"/>
  <c r="E11" i="43"/>
  <c r="C9" i="43"/>
  <c r="C7" i="43"/>
  <c r="C18" i="43"/>
  <c r="D5" i="43"/>
  <c r="F33" i="43"/>
  <c r="F34" i="43"/>
  <c r="C34" i="43"/>
  <c r="E34" i="43"/>
  <c r="F35" i="43"/>
  <c r="C35" i="43"/>
  <c r="E35" i="43"/>
  <c r="F36" i="43"/>
  <c r="C36" i="43"/>
  <c r="E36" i="43"/>
  <c r="F37" i="43"/>
  <c r="C37" i="43"/>
  <c r="E37" i="43"/>
  <c r="C38" i="43"/>
  <c r="E38" i="43"/>
  <c r="C39" i="43"/>
  <c r="E39" i="43"/>
  <c r="C26" i="43"/>
  <c r="C30" i="43"/>
  <c r="E30" i="43"/>
  <c r="G33" i="43"/>
  <c r="H33" i="43"/>
  <c r="I33" i="43"/>
  <c r="G34" i="43"/>
  <c r="I34" i="43"/>
  <c r="G35" i="43"/>
  <c r="I35" i="43"/>
  <c r="G36" i="43"/>
  <c r="I36" i="43"/>
  <c r="G37" i="43"/>
  <c r="I37" i="43"/>
  <c r="G38" i="43"/>
  <c r="I38" i="43"/>
  <c r="G39" i="43"/>
  <c r="I39" i="43"/>
  <c r="C27" i="43"/>
  <c r="F38" i="43"/>
  <c r="F39"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B2" i="43"/>
  <c r="A7" i="43"/>
  <c r="B6" i="76"/>
  <c r="B2" i="76"/>
  <c r="N104" i="46"/>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N78" i="43"/>
  <c r="M78" i="43"/>
  <c r="K78" i="43"/>
  <c r="J78" i="43"/>
  <c r="F70"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E70" i="43"/>
  <c r="D70" i="43"/>
  <c r="B70" i="43"/>
  <c r="B68"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B59" i="43"/>
  <c r="B57" i="43"/>
  <c r="N56" i="43"/>
  <c r="M56" i="43"/>
  <c r="K56" i="43"/>
  <c r="J56" i="43"/>
  <c r="N2"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P25" i="43"/>
  <c r="P24" i="43"/>
  <c r="P23" i="43"/>
  <c r="P22" i="43"/>
  <c r="J22" i="43"/>
  <c r="P21" i="43"/>
  <c r="O19" i="43"/>
  <c r="I19" i="43"/>
  <c r="P17" i="43"/>
  <c r="O17" i="43"/>
  <c r="N17" i="43"/>
  <c r="E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AJ10" i="43"/>
  <c r="AI10" i="43"/>
  <c r="AH10" i="43"/>
  <c r="AG10" i="43"/>
  <c r="AF10" i="43"/>
  <c r="AE10" i="43"/>
  <c r="AD10" i="43"/>
  <c r="AC10" i="43"/>
  <c r="AB10" i="43"/>
  <c r="AA10" i="43"/>
  <c r="Z10" i="43"/>
  <c r="Y10" i="43"/>
  <c r="T10" i="43"/>
  <c r="V10" i="43"/>
  <c r="N10" i="43"/>
  <c r="M10" i="43"/>
  <c r="AJ9" i="43"/>
  <c r="AI9" i="43"/>
  <c r="AH9" i="43"/>
  <c r="AG9" i="43"/>
  <c r="AF9" i="43"/>
  <c r="AE9" i="43"/>
  <c r="AD9" i="43"/>
  <c r="AC9" i="43"/>
  <c r="AB9" i="43"/>
  <c r="AA9" i="43"/>
  <c r="Z9" i="43"/>
  <c r="T9" i="43"/>
  <c r="V9" i="43"/>
  <c r="N9" i="43"/>
  <c r="M9" i="43"/>
  <c r="T8" i="43"/>
  <c r="V8" i="43"/>
  <c r="N8" i="43"/>
  <c r="M8" i="43"/>
  <c r="Z7" i="43"/>
  <c r="X7" i="43"/>
  <c r="S7" i="43"/>
  <c r="T7" i="43"/>
  <c r="V7" i="43"/>
  <c r="N7" i="43"/>
  <c r="M7" i="43"/>
  <c r="S6" i="43"/>
  <c r="T6" i="43"/>
  <c r="V6" i="43"/>
  <c r="N6" i="43"/>
  <c r="M6" i="43"/>
  <c r="S5" i="43"/>
  <c r="T5" i="43"/>
  <c r="V5" i="43"/>
  <c r="N5" i="43"/>
  <c r="M5" i="43"/>
  <c r="S4" i="43"/>
  <c r="T4" i="43"/>
  <c r="V4" i="43"/>
  <c r="N4" i="43"/>
  <c r="M4" i="43"/>
  <c r="S3" i="43"/>
  <c r="T3" i="43"/>
  <c r="V3" i="43"/>
  <c r="N3" i="43"/>
  <c r="M3" i="43"/>
  <c r="D1" i="43"/>
  <c r="B3" i="43"/>
  <c r="S2" i="43"/>
  <c r="T2" i="43"/>
  <c r="V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E61" i="40"/>
  <c r="F61" i="40"/>
  <c r="H60" i="40"/>
  <c r="I60" i="40"/>
  <c r="C60" i="40"/>
  <c r="B60" i="40"/>
  <c r="BB5" i="3"/>
  <c r="BE5" i="3"/>
  <c r="E15" i="6"/>
  <c r="E60" i="40"/>
  <c r="F60" i="40"/>
  <c r="H59" i="40"/>
  <c r="I59" i="40"/>
  <c r="C59" i="40"/>
  <c r="B59" i="40"/>
  <c r="E14" i="6"/>
  <c r="E59" i="40"/>
  <c r="F59" i="40"/>
  <c r="H58" i="40"/>
  <c r="I58" i="40"/>
  <c r="C58" i="40"/>
  <c r="B58" i="40"/>
  <c r="E13" i="6"/>
  <c r="E58" i="40"/>
  <c r="F58" i="40"/>
  <c r="H57" i="40"/>
  <c r="I57" i="40"/>
  <c r="C57" i="40"/>
  <c r="B57" i="40"/>
  <c r="E12" i="6"/>
  <c r="E57" i="40"/>
  <c r="F57" i="40"/>
  <c r="H56" i="40"/>
  <c r="I56" i="40"/>
  <c r="C56" i="40"/>
  <c r="B56" i="40"/>
  <c r="E11" i="6"/>
  <c r="E56" i="40"/>
  <c r="F56" i="40"/>
  <c r="H55" i="40"/>
  <c r="I55" i="40"/>
  <c r="C55" i="40"/>
  <c r="B55" i="40"/>
  <c r="F55" i="40"/>
  <c r="H54" i="40"/>
  <c r="I54" i="40"/>
  <c r="C54" i="40"/>
  <c r="B54" i="40"/>
  <c r="F54" i="40"/>
  <c r="H53" i="40"/>
  <c r="I53" i="40"/>
  <c r="C53" i="40"/>
  <c r="B53" i="40"/>
  <c r="F53" i="40"/>
  <c r="H52" i="40"/>
  <c r="I52" i="40"/>
  <c r="C52" i="40"/>
  <c r="B52" i="40"/>
  <c r="F52" i="40"/>
  <c r="B51" i="40"/>
  <c r="E51" i="40"/>
  <c r="F51" i="40"/>
  <c r="J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W7" i="40"/>
  <c r="U7" i="40"/>
  <c r="S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7" i="39"/>
  <c r="AA7" i="39"/>
  <c r="R47" i="39"/>
  <c r="R48" i="39"/>
  <c r="C48" i="39"/>
  <c r="B56" i="39"/>
  <c r="E56" i="39"/>
  <c r="F56" i="39"/>
  <c r="F66" i="39"/>
  <c r="E61" i="39"/>
  <c r="E62" i="39"/>
  <c r="E63" i="39"/>
  <c r="E64" i="39"/>
  <c r="E65" i="39"/>
  <c r="E66" i="39"/>
  <c r="H65" i="39"/>
  <c r="I65" i="39"/>
  <c r="C65" i="39"/>
  <c r="B65" i="39"/>
  <c r="F65" i="39"/>
  <c r="H64" i="39"/>
  <c r="I64" i="39"/>
  <c r="C64" i="39"/>
  <c r="B64" i="39"/>
  <c r="F64" i="39"/>
  <c r="H63" i="39"/>
  <c r="I63" i="39"/>
  <c r="C63" i="39"/>
  <c r="B63" i="39"/>
  <c r="F63" i="39"/>
  <c r="H62" i="39"/>
  <c r="I62" i="39"/>
  <c r="C62" i="39"/>
  <c r="B62" i="39"/>
  <c r="F62" i="39"/>
  <c r="H61" i="39"/>
  <c r="I61" i="39"/>
  <c r="C61" i="39"/>
  <c r="B61" i="39"/>
  <c r="F61" i="39"/>
  <c r="H60" i="39"/>
  <c r="I60" i="39"/>
  <c r="C60" i="39"/>
  <c r="B60" i="39"/>
  <c r="F60" i="39"/>
  <c r="H59" i="39"/>
  <c r="I59" i="39"/>
  <c r="C59" i="39"/>
  <c r="B59" i="39"/>
  <c r="F59" i="39"/>
  <c r="H58" i="39"/>
  <c r="I58" i="39"/>
  <c r="C58" i="39"/>
  <c r="B58" i="39"/>
  <c r="F58" i="39"/>
  <c r="H57" i="39"/>
  <c r="I57" i="39"/>
  <c r="C57" i="39"/>
  <c r="B57" i="39"/>
  <c r="F57" i="39"/>
  <c r="J55" i="39"/>
  <c r="J53" i="39"/>
  <c r="I53" i="39"/>
  <c r="H53" i="39"/>
  <c r="G53" i="39"/>
  <c r="F53" i="39"/>
  <c r="E53" i="39"/>
  <c r="J7" i="39"/>
  <c r="AC7" i="39"/>
  <c r="V47" i="39"/>
  <c r="I47" i="39"/>
  <c r="E47" i="39"/>
  <c r="I52" i="39"/>
  <c r="J52" i="39"/>
  <c r="H7" i="39"/>
  <c r="AB7"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W7" i="39"/>
  <c r="U7" i="39"/>
  <c r="S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C7" i="21"/>
  <c r="C58" i="21"/>
  <c r="D58" i="21"/>
  <c r="E58" i="21"/>
  <c r="F58" i="21"/>
  <c r="G58" i="21"/>
  <c r="H58" i="21"/>
  <c r="I58" i="21"/>
  <c r="J58" i="21"/>
  <c r="K58" i="21"/>
  <c r="L58" i="21"/>
  <c r="M58" i="21"/>
  <c r="N58" i="21"/>
  <c r="O58" i="21"/>
  <c r="J54" i="21"/>
  <c r="I54" i="21"/>
  <c r="H54" i="21"/>
  <c r="G54" i="21"/>
  <c r="F54" i="21"/>
  <c r="E54" i="21"/>
  <c r="J7" i="21"/>
  <c r="AC7" i="21"/>
  <c r="V48" i="21"/>
  <c r="I48" i="21"/>
  <c r="F7" i="21"/>
  <c r="AA7" i="21"/>
  <c r="R48" i="21"/>
  <c r="E48" i="21"/>
  <c r="I53" i="21"/>
  <c r="J53" i="21"/>
  <c r="H7" i="21"/>
  <c r="AB7"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D2" i="21"/>
  <c r="B2" i="21"/>
  <c r="B3" i="21"/>
  <c r="I23" i="66"/>
  <c r="I3" i="66"/>
  <c r="I10" i="66"/>
  <c r="I21" i="66"/>
  <c r="D20" i="66"/>
  <c r="I19" i="66"/>
  <c r="I18" i="66"/>
  <c r="I17" i="66"/>
  <c r="E15" i="66"/>
  <c r="I14" i="66"/>
  <c r="I13" i="66"/>
  <c r="I12" i="66"/>
  <c r="D1" i="66"/>
  <c r="E10" i="66"/>
  <c r="I9" i="66"/>
  <c r="I8" i="66"/>
  <c r="I7" i="66"/>
  <c r="I6" i="66"/>
  <c r="I5" i="66"/>
  <c r="I4" i="66"/>
  <c r="E13" i="70"/>
  <c r="A13" i="70"/>
  <c r="E12" i="70"/>
  <c r="A12" i="70"/>
  <c r="E11" i="70"/>
  <c r="A11" i="70"/>
  <c r="E10" i="70"/>
  <c r="A10" i="70"/>
  <c r="A9" i="70"/>
  <c r="E9" i="70"/>
  <c r="A8" i="70"/>
  <c r="E8" i="70"/>
  <c r="A7" i="70"/>
  <c r="E7" i="70"/>
  <c r="J50" i="15"/>
  <c r="J51" i="15"/>
  <c r="M47" i="15"/>
  <c r="C76" i="15"/>
  <c r="L51" i="15"/>
  <c r="L57" i="15"/>
  <c r="D7" i="1"/>
  <c r="L47" i="15"/>
  <c r="L58" i="15"/>
  <c r="M59" i="15"/>
  <c r="L59" i="15"/>
  <c r="L60" i="15"/>
  <c r="A6" i="70"/>
  <c r="E6" i="70"/>
  <c r="E2" i="70"/>
  <c r="B3" i="70"/>
  <c r="G1" i="67"/>
  <c r="F43" i="67"/>
  <c r="S10"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F11" i="67"/>
  <c r="C10" i="67"/>
  <c r="C5" i="67"/>
  <c r="F32" i="67"/>
  <c r="C32" i="67"/>
  <c r="C33" i="67"/>
  <c r="R10" i="1"/>
  <c r="F35" i="67"/>
  <c r="B52" i="1"/>
  <c r="F34" i="67"/>
  <c r="C34" i="67"/>
  <c r="C31" i="67"/>
  <c r="F36" i="67"/>
  <c r="C36" i="67"/>
  <c r="F37" i="67"/>
  <c r="C37" i="67"/>
  <c r="F38" i="67"/>
  <c r="C38" i="67"/>
  <c r="C30" i="67"/>
  <c r="C39" i="67"/>
  <c r="F42" i="67"/>
  <c r="F40" i="67"/>
  <c r="AE10" i="1"/>
  <c r="F41" i="67"/>
  <c r="C40" i="67"/>
  <c r="C83" i="67"/>
  <c r="C82" i="67"/>
  <c r="C76" i="67"/>
  <c r="C75" i="67"/>
  <c r="C80" i="67"/>
  <c r="C79" i="67"/>
  <c r="M6" i="67"/>
  <c r="M8" i="67"/>
  <c r="M7" i="67"/>
  <c r="M9" i="67"/>
  <c r="J6" i="67"/>
  <c r="M11" i="67"/>
  <c r="J10" i="67"/>
  <c r="J5" i="67"/>
  <c r="J26" i="67"/>
  <c r="J29" i="67"/>
  <c r="Q65" i="67"/>
  <c r="L48" i="67"/>
  <c r="L51" i="67"/>
  <c r="J51" i="67"/>
  <c r="L57" i="67"/>
  <c r="D9" i="1"/>
  <c r="L47" i="67"/>
  <c r="L58" i="67"/>
  <c r="L59" i="67"/>
  <c r="L60" i="67"/>
  <c r="Q66" i="67"/>
  <c r="Q75" i="67"/>
  <c r="Q74" i="67"/>
  <c r="P74" i="67"/>
  <c r="Q73" i="67"/>
  <c r="Q72" i="67"/>
  <c r="Q71" i="67"/>
  <c r="F71" i="67"/>
  <c r="F51" i="67"/>
  <c r="F50" i="67"/>
  <c r="C49" i="67"/>
  <c r="C53" i="67"/>
  <c r="C48" i="67"/>
  <c r="F60" i="67"/>
  <c r="C60" i="67"/>
  <c r="C57"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F61" i="67"/>
  <c r="Q60" i="67"/>
  <c r="J57" i="67"/>
  <c r="J55" i="67"/>
  <c r="J58" i="67"/>
  <c r="J59" i="67"/>
  <c r="J53" i="67"/>
  <c r="J60" i="67"/>
  <c r="Q59" i="67"/>
  <c r="N59" i="67"/>
  <c r="M59" i="67"/>
  <c r="K59" i="67"/>
  <c r="F59" i="67"/>
  <c r="Q58" i="67"/>
  <c r="L56" i="67"/>
  <c r="I54" i="67"/>
  <c r="Q47" i="67"/>
  <c r="Q48" i="67"/>
  <c r="Q53" i="67"/>
  <c r="Q52" i="67"/>
  <c r="Q51" i="67"/>
  <c r="Q50" i="67"/>
  <c r="J50" i="67"/>
  <c r="Q49" i="67"/>
  <c r="M47" i="67"/>
  <c r="L46" i="67"/>
  <c r="D46" i="67"/>
  <c r="C45" i="67"/>
  <c r="C46" i="67"/>
  <c r="C43" i="67"/>
  <c r="F33" i="67"/>
  <c r="F31" i="67"/>
  <c r="M29" i="67"/>
  <c r="M28" i="67"/>
  <c r="M27" i="67"/>
  <c r="M26" i="67"/>
  <c r="M18" i="67"/>
  <c r="J18" i="67"/>
  <c r="J19" i="67"/>
  <c r="M21" i="67"/>
  <c r="M20" i="67"/>
  <c r="J20" i="67"/>
  <c r="J17" i="67"/>
  <c r="J14" i="67"/>
  <c r="M22" i="67"/>
  <c r="J22" i="67"/>
  <c r="J15" i="67"/>
  <c r="J13" i="67"/>
  <c r="M23" i="67"/>
  <c r="J23" i="67"/>
  <c r="M24" i="67"/>
  <c r="J24" i="67"/>
  <c r="J16" i="67"/>
  <c r="J25" i="67"/>
  <c r="D24" i="67"/>
  <c r="D23" i="67"/>
  <c r="D22" i="67"/>
  <c r="M19" i="67"/>
  <c r="M17" i="67"/>
  <c r="D2" i="67"/>
  <c r="B3" i="67"/>
  <c r="B2" i="67"/>
  <c r="F1" i="67"/>
  <c r="F15" i="15"/>
  <c r="F17" i="15"/>
  <c r="F18" i="15"/>
  <c r="F20" i="15"/>
  <c r="F23" i="15"/>
  <c r="F21" i="15"/>
  <c r="F28" i="15"/>
  <c r="C28" i="15"/>
  <c r="F32" i="15"/>
  <c r="F34" i="15"/>
  <c r="C83" i="15"/>
  <c r="C82" i="15"/>
  <c r="C75" i="15"/>
  <c r="C80" i="15"/>
  <c r="C79" i="15"/>
  <c r="Q65"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Q59" i="15"/>
  <c r="N59" i="15"/>
  <c r="F59" i="15"/>
  <c r="Q58" i="15"/>
  <c r="L56" i="15"/>
  <c r="I54" i="15"/>
  <c r="Q47" i="15"/>
  <c r="Q48" i="15"/>
  <c r="Q53" i="15"/>
  <c r="Q52" i="15"/>
  <c r="Q51" i="15"/>
  <c r="Q50" i="15"/>
  <c r="Q49" i="15"/>
  <c r="D46" i="15"/>
  <c r="C46" i="15"/>
  <c r="C43" i="15"/>
  <c r="F31" i="15"/>
  <c r="M29" i="15"/>
  <c r="M28" i="15"/>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3" i="15"/>
  <c r="O6" i="1"/>
  <c r="P6" i="1"/>
  <c r="O7" i="1"/>
  <c r="P7" i="1"/>
  <c r="O8" i="1"/>
  <c r="P8" i="1"/>
  <c r="O9" i="1"/>
  <c r="P9" i="1"/>
  <c r="O10" i="1"/>
  <c r="P10" i="1"/>
  <c r="O11" i="1"/>
  <c r="P11" i="1"/>
  <c r="O12" i="1"/>
  <c r="P12" i="1"/>
  <c r="O13" i="1"/>
  <c r="P13" i="1"/>
  <c r="O14" i="1"/>
  <c r="P14" i="1"/>
  <c r="P16" i="1"/>
  <c r="C11" i="12"/>
  <c r="F12" i="12"/>
  <c r="C12" i="12"/>
  <c r="F13" i="12"/>
  <c r="C13" i="12"/>
  <c r="D14" i="12"/>
  <c r="F11" i="12"/>
  <c r="E14" i="12"/>
  <c r="C14" i="12"/>
  <c r="F15" i="12"/>
  <c r="C15" i="12"/>
  <c r="C16" i="12"/>
  <c r="D17" i="12"/>
  <c r="E17" i="12"/>
  <c r="C17" i="12"/>
  <c r="D19" i="12"/>
  <c r="E19" i="12"/>
  <c r="C19" i="12"/>
  <c r="D20" i="12"/>
  <c r="E20" i="12"/>
  <c r="C20" i="12"/>
  <c r="C18" i="12"/>
  <c r="C21" i="12"/>
  <c r="F22" i="12"/>
  <c r="C22" i="12"/>
  <c r="F23" i="12"/>
  <c r="C23" i="12"/>
  <c r="F25" i="12"/>
  <c r="C27" i="12"/>
  <c r="C25" i="12"/>
  <c r="F24" i="12"/>
  <c r="C24" i="12"/>
  <c r="C26" i="12"/>
  <c r="D25" i="12"/>
  <c r="F31" i="12"/>
  <c r="C31" i="12"/>
  <c r="G27" i="12"/>
  <c r="G26" i="12"/>
  <c r="G25" i="12"/>
  <c r="K7" i="12"/>
  <c r="J7" i="12"/>
  <c r="I7" i="12"/>
  <c r="H7" i="12"/>
  <c r="G7" i="12"/>
  <c r="F7" i="12"/>
  <c r="E7" i="12"/>
  <c r="D7" i="12"/>
  <c r="C7" i="12"/>
  <c r="C4" i="12"/>
  <c r="K1" i="12"/>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F30" i="69"/>
  <c r="C48" i="69"/>
  <c r="F50" i="69"/>
  <c r="E9" i="69"/>
  <c r="C9" i="69"/>
  <c r="E10" i="69"/>
  <c r="C10" i="69"/>
  <c r="C8" i="69"/>
  <c r="F7" i="69"/>
  <c r="C7" i="69"/>
  <c r="C5" i="69"/>
  <c r="E19" i="69"/>
  <c r="C19" i="69"/>
  <c r="C20" i="69"/>
  <c r="C23" i="69"/>
  <c r="C24" i="69"/>
  <c r="C25" i="69"/>
  <c r="C22" i="69"/>
  <c r="C26" i="69"/>
  <c r="D22" i="69"/>
  <c r="C21" i="69"/>
  <c r="C30" i="69"/>
  <c r="G41" i="69"/>
  <c r="G22" i="69"/>
  <c r="E2" i="69"/>
  <c r="H1" i="69"/>
  <c r="G1" i="69"/>
  <c r="F35" i="68"/>
  <c r="F36" i="68"/>
  <c r="E37" i="68"/>
  <c r="F38" i="68"/>
  <c r="F20" i="68"/>
  <c r="F21" i="68"/>
  <c r="C40" i="68"/>
  <c r="F30" i="68"/>
  <c r="C48" i="68"/>
  <c r="F50" i="68"/>
  <c r="E19" i="68"/>
  <c r="C19" i="68"/>
  <c r="F7" i="68"/>
  <c r="C8" i="68"/>
  <c r="C21" i="68"/>
  <c r="C30" i="68"/>
  <c r="G41" i="68"/>
  <c r="G22" i="68"/>
  <c r="E10" i="68"/>
  <c r="C10" i="68"/>
  <c r="E9" i="68"/>
  <c r="C9" i="68"/>
  <c r="E2" i="68"/>
  <c r="G1" i="68"/>
  <c r="E111" i="9"/>
  <c r="H111" i="9"/>
  <c r="D126" i="9"/>
  <c r="D127" i="9"/>
  <c r="A126" i="9"/>
  <c r="E109" i="9"/>
  <c r="H109" i="9"/>
  <c r="D124" i="9"/>
  <c r="D125" i="9"/>
  <c r="A124" i="9"/>
  <c r="C17" i="9"/>
  <c r="D17" i="9"/>
  <c r="C18" i="9"/>
  <c r="D18" i="9"/>
  <c r="E107" i="9"/>
  <c r="A122" i="9"/>
  <c r="D121" i="9"/>
  <c r="A120" i="9"/>
  <c r="K120" i="9"/>
  <c r="D120" i="9"/>
  <c r="M18" i="9"/>
  <c r="B118" i="9"/>
  <c r="M19" i="9"/>
  <c r="C118" i="9"/>
  <c r="S2" i="4"/>
  <c r="A118" i="9"/>
  <c r="H112" i="9"/>
  <c r="H110" i="9"/>
  <c r="H106" i="9"/>
  <c r="H105" i="9"/>
  <c r="H104" i="9"/>
  <c r="H103" i="9"/>
  <c r="D20" i="9"/>
  <c r="D103" i="9"/>
  <c r="D102" i="9"/>
  <c r="D101" i="9"/>
  <c r="C101" i="9"/>
  <c r="D93" i="9"/>
  <c r="D89" i="9"/>
  <c r="C89" i="9"/>
  <c r="C87" i="9"/>
  <c r="C92" i="9"/>
  <c r="C94" i="9"/>
  <c r="C91" i="9"/>
  <c r="E90" i="9"/>
  <c r="D78" i="9"/>
  <c r="D77" i="9"/>
  <c r="C77" i="9"/>
  <c r="C74" i="9"/>
  <c r="H77" i="9"/>
  <c r="C76" i="9"/>
  <c r="D68" i="9"/>
  <c r="I55" i="9"/>
  <c r="K6" i="4"/>
  <c r="M56" i="9"/>
  <c r="J56" i="9"/>
  <c r="J57" i="9"/>
  <c r="J59" i="9"/>
  <c r="J61" i="9"/>
  <c r="F59" i="9"/>
  <c r="E59" i="9"/>
  <c r="D59" i="9"/>
  <c r="N56" i="9"/>
  <c r="K56" i="9"/>
  <c r="F56" i="9"/>
  <c r="O55" i="9"/>
  <c r="N55" i="9"/>
  <c r="M55" i="9"/>
  <c r="K55" i="9"/>
  <c r="J55" i="9"/>
  <c r="F55" i="9"/>
  <c r="O54" i="9"/>
  <c r="N54" i="9"/>
  <c r="F54" i="9"/>
  <c r="O53" i="9"/>
  <c r="N53" i="9"/>
  <c r="F53" i="9"/>
  <c r="F48" i="9"/>
  <c r="O52" i="9"/>
  <c r="N52" i="9"/>
  <c r="M52" i="9"/>
  <c r="F52" i="9"/>
  <c r="K49" i="9"/>
  <c r="E48" i="9"/>
  <c r="D48" i="9"/>
  <c r="M47" i="9"/>
  <c r="F33" i="9"/>
  <c r="D27" i="9"/>
  <c r="C25" i="9"/>
  <c r="C24" i="9"/>
  <c r="L19" i="9"/>
  <c r="D21" i="9"/>
  <c r="L18"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2" i="74"/>
  <c r="B8" i="74"/>
  <c r="D8" i="74"/>
  <c r="B1" i="74"/>
  <c r="C8" i="74"/>
  <c r="B7" i="74"/>
  <c r="D7" i="74"/>
  <c r="C7" i="74"/>
  <c r="B3" i="74"/>
  <c r="C24" i="20"/>
  <c r="G20" i="20"/>
  <c r="G19" i="20"/>
  <c r="G18" i="20"/>
  <c r="G16" i="20"/>
  <c r="T10" i="1"/>
  <c r="S11" i="1"/>
  <c r="T11" i="1"/>
  <c r="S12" i="1"/>
  <c r="T12" i="1"/>
  <c r="S13" i="1"/>
  <c r="T13" i="1"/>
  <c r="T16" i="1"/>
  <c r="S16" i="1"/>
  <c r="R11" i="1"/>
  <c r="R12" i="1"/>
  <c r="R13" i="1"/>
  <c r="R16" i="1"/>
  <c r="O16" i="1"/>
  <c r="L16" i="1"/>
  <c r="K15" i="1"/>
  <c r="K16" i="1"/>
  <c r="H16" i="1"/>
  <c r="AR13" i="1"/>
  <c r="AQ13" i="1"/>
  <c r="AG13" i="1"/>
  <c r="AE13" i="1"/>
  <c r="F13" i="1"/>
  <c r="D13" i="1"/>
  <c r="G13" i="1"/>
  <c r="E13" i="1"/>
  <c r="B13" i="1"/>
  <c r="A13" i="1"/>
  <c r="AR12" i="1"/>
  <c r="AQ12" i="1"/>
  <c r="AG12" i="1"/>
  <c r="AE12" i="1"/>
  <c r="F12" i="1"/>
  <c r="D12" i="1"/>
  <c r="G12" i="1"/>
  <c r="E12" i="1"/>
  <c r="B12" i="1"/>
  <c r="A12" i="1"/>
  <c r="AR11" i="1"/>
  <c r="AQ11" i="1"/>
  <c r="AG11" i="1"/>
  <c r="AE11" i="1"/>
  <c r="F11" i="1"/>
  <c r="D11" i="1"/>
  <c r="G11" i="1"/>
  <c r="E11" i="1"/>
  <c r="B11" i="1"/>
  <c r="A11" i="1"/>
  <c r="AR10" i="1"/>
  <c r="AQ10" i="1"/>
  <c r="AG10" i="1"/>
  <c r="F10" i="1"/>
  <c r="D10" i="1"/>
  <c r="G10" i="1"/>
  <c r="E10" i="1"/>
  <c r="B10" i="1"/>
  <c r="A10" i="1"/>
  <c r="AR9" i="1"/>
  <c r="AQ9" i="1"/>
  <c r="AG9" i="1"/>
  <c r="G9" i="1"/>
  <c r="B9" i="1"/>
  <c r="E9" i="1"/>
  <c r="AR8" i="1"/>
  <c r="AQ8" i="1"/>
  <c r="G8" i="1"/>
  <c r="B8" i="1"/>
  <c r="E8" i="1"/>
  <c r="AR7" i="1"/>
  <c r="AQ7" i="1"/>
  <c r="AG7" i="1"/>
  <c r="G7" i="1"/>
  <c r="B7" i="1"/>
  <c r="E7" i="1"/>
  <c r="AR6" i="1"/>
  <c r="AQ6" i="1"/>
  <c r="AG6" i="1"/>
  <c r="G6" i="1"/>
  <c r="B6" i="1"/>
  <c r="E6" i="1"/>
  <c r="T4" i="1"/>
  <c r="E32" i="6"/>
  <c r="G27" i="6"/>
  <c r="G30" i="6"/>
  <c r="G31" i="6"/>
  <c r="E30" i="6"/>
  <c r="E31" i="6"/>
  <c r="F30" i="6"/>
  <c r="F29" i="6"/>
  <c r="G28" i="6"/>
  <c r="F28" i="6"/>
  <c r="E28"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P26" i="6"/>
  <c r="E26" i="6"/>
  <c r="P25" i="6"/>
  <c r="E25" i="6"/>
  <c r="P24" i="6"/>
  <c r="E24" i="6"/>
  <c r="P23" i="6"/>
  <c r="E23" i="6"/>
  <c r="P22" i="6"/>
  <c r="P21" i="6"/>
  <c r="P20" i="6"/>
  <c r="P19" i="6"/>
  <c r="E10" i="6"/>
  <c r="E16" i="6"/>
  <c r="D8" i="6"/>
  <c r="D9" i="6"/>
  <c r="D10" i="6"/>
  <c r="D11" i="6"/>
  <c r="D12" i="6"/>
  <c r="D13" i="6"/>
  <c r="D14" i="6"/>
  <c r="D15" i="6"/>
  <c r="D16" i="6"/>
  <c r="D6" i="6"/>
  <c r="I5" i="6"/>
  <c r="D5" i="6"/>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B17" i="3"/>
  <c r="B18" i="3"/>
  <c r="AW18" i="3"/>
  <c r="AV18" i="3"/>
  <c r="AC18" i="3"/>
  <c r="H18" i="3"/>
  <c r="G18" i="3"/>
  <c r="E18" i="3"/>
  <c r="BT17" i="3"/>
  <c r="BS17" i="3"/>
  <c r="BR17" i="3"/>
  <c r="BQ17" i="3"/>
  <c r="BP17" i="3"/>
  <c r="BO17" i="3"/>
  <c r="BN17" i="3"/>
  <c r="BM17" i="3"/>
  <c r="BL17" i="3"/>
  <c r="BK17" i="3"/>
  <c r="BJ17" i="3"/>
  <c r="BI17" i="3"/>
  <c r="BH17" i="3"/>
  <c r="BG17" i="3"/>
  <c r="BF17" i="3"/>
  <c r="BD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O15" i="3"/>
  <c r="BN15" i="3"/>
  <c r="BM15" i="3"/>
  <c r="BK15" i="3"/>
  <c r="BJ15" i="3"/>
  <c r="BI15" i="3"/>
  <c r="BH15" i="3"/>
  <c r="BG15" i="3"/>
  <c r="BF15" i="3"/>
  <c r="BE15" i="3"/>
  <c r="BD15" i="3"/>
  <c r="BC15" i="3"/>
  <c r="AY15" i="3"/>
  <c r="AX15" i="3"/>
  <c r="AW15" i="3"/>
  <c r="AV15" i="3"/>
  <c r="E15" i="3"/>
  <c r="BT14" i="3"/>
  <c r="BS14" i="3"/>
  <c r="BR14" i="3"/>
  <c r="BQ14" i="3"/>
  <c r="BO14" i="3"/>
  <c r="BN14" i="3"/>
  <c r="BM14" i="3"/>
  <c r="BK14" i="3"/>
  <c r="BJ14" i="3"/>
  <c r="BI14" i="3"/>
  <c r="BH14" i="3"/>
  <c r="BG14" i="3"/>
  <c r="BF14" i="3"/>
  <c r="BE14" i="3"/>
  <c r="BD14" i="3"/>
  <c r="BC14" i="3"/>
  <c r="AY14" i="3"/>
  <c r="AX14" i="3"/>
  <c r="AW14" i="3"/>
  <c r="AV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D11" i="3"/>
  <c r="BC11" i="3"/>
  <c r="BB11" i="3"/>
  <c r="BT10" i="3"/>
  <c r="BS10" i="3"/>
  <c r="BR10" i="3"/>
  <c r="BQ10" i="3"/>
  <c r="BP10" i="3"/>
  <c r="BO10" i="3"/>
  <c r="BN10" i="3"/>
  <c r="BM10" i="3"/>
  <c r="BK10" i="3"/>
  <c r="BJ10" i="3"/>
  <c r="BI10" i="3"/>
  <c r="BH10" i="3"/>
  <c r="BG10" i="3"/>
  <c r="BF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5"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R5" i="3"/>
  <c r="BQ5" i="3"/>
  <c r="BO5" i="3"/>
  <c r="BN5" i="3"/>
  <c r="BM5" i="3"/>
  <c r="BK5" i="3"/>
  <c r="BJ5" i="3"/>
  <c r="BI5" i="3"/>
  <c r="BH5" i="3"/>
  <c r="BG5" i="3"/>
  <c r="BF5" i="3"/>
  <c r="BD5" i="3"/>
  <c r="AT5" i="3"/>
  <c r="AS5" i="3"/>
  <c r="AR5" i="3"/>
  <c r="AQ5" i="3"/>
  <c r="AP5" i="3"/>
  <c r="AO5" i="3"/>
  <c r="AN5" i="3"/>
  <c r="AM5" i="3"/>
  <c r="AL5" i="3"/>
  <c r="AK5" i="3"/>
  <c r="AI5" i="3"/>
  <c r="AH5" i="3"/>
  <c r="AG5" i="3"/>
  <c r="AF5" i="3"/>
  <c r="AE5" i="3"/>
  <c r="AD5" i="3"/>
  <c r="AC5" i="3"/>
  <c r="AB5" i="3"/>
  <c r="AA5" i="3"/>
  <c r="Z5" i="3"/>
  <c r="Y5" i="3"/>
  <c r="X5" i="3"/>
  <c r="W5" i="3"/>
  <c r="V5" i="3"/>
  <c r="U5" i="3"/>
  <c r="T5" i="3"/>
  <c r="S5" i="3"/>
  <c r="R5" i="3"/>
  <c r="Q5" i="3"/>
  <c r="P5" i="3"/>
  <c r="N5" i="3"/>
  <c r="M5" i="3"/>
  <c r="L5" i="3"/>
  <c r="J5" i="3"/>
  <c r="H5" i="3"/>
  <c r="F5" i="3"/>
  <c r="K34" i="4"/>
  <c r="T34" i="4"/>
  <c r="R35" i="4"/>
  <c r="T35" i="4"/>
  <c r="Q35" i="4"/>
  <c r="P35" i="4"/>
  <c r="O35" i="4"/>
  <c r="N35" i="4"/>
  <c r="M35" i="4"/>
  <c r="L35" i="4"/>
  <c r="F35" i="4"/>
  <c r="C33" i="4"/>
  <c r="C32" i="4"/>
  <c r="C31" i="4"/>
  <c r="L22" i="4"/>
  <c r="L21" i="4"/>
  <c r="L20" i="4"/>
  <c r="F19" i="4"/>
  <c r="C18" i="4"/>
  <c r="C17" i="4"/>
  <c r="I15" i="4"/>
  <c r="H15" i="4"/>
  <c r="D15" i="4"/>
  <c r="K5" i="4"/>
  <c r="I4" i="4"/>
  <c r="G4" i="4"/>
  <c r="S1" i="4"/>
  <c r="B1" i="4"/>
  <c r="C53" i="10"/>
  <c r="C51" i="10"/>
  <c r="B51" i="10"/>
  <c r="B23" i="49"/>
  <c r="E22" i="49"/>
  <c r="B22" i="49"/>
  <c r="E21" i="49"/>
  <c r="E16" i="49"/>
  <c r="B16" i="49"/>
  <c r="B14" i="49"/>
  <c r="B13" i="49"/>
  <c r="E11" i="49"/>
  <c r="E10" i="49"/>
  <c r="B10" i="49"/>
  <c r="E9" i="49"/>
  <c r="B9" i="49"/>
  <c r="E8" i="49"/>
  <c r="E7" i="49"/>
  <c r="B7" i="49"/>
  <c r="E6" i="49"/>
  <c r="B6" i="49"/>
  <c r="E5" i="49"/>
  <c r="B5" i="49"/>
  <c r="E4" i="49"/>
  <c r="B4"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 r="C23" i="43"/>
  <c r="E6" i="76"/>
  <c r="E2" i="76"/>
  <c r="B3" i="76"/>
  <c r="Q16" i="1"/>
  <c r="F27" i="68"/>
  <c r="C28" i="68"/>
  <c r="C27" i="68"/>
  <c r="C29" i="68"/>
  <c r="D27" i="68"/>
  <c r="C31" i="68"/>
  <c r="C46" i="68"/>
  <c r="C45" i="68"/>
  <c r="C47" i="68"/>
  <c r="D45" i="68"/>
  <c r="C49" i="68"/>
  <c r="C51" i="68"/>
  <c r="C52" i="68"/>
  <c r="B2" i="68"/>
  <c r="C19" i="9"/>
  <c r="G19" i="9"/>
  <c r="C32" i="9"/>
  <c r="H118" i="9"/>
  <c r="H101" i="9"/>
  <c r="D5" i="53"/>
  <c r="B20" i="72"/>
  <c r="I118" i="9"/>
  <c r="H102" i="9"/>
  <c r="D7" i="53"/>
  <c r="B21" i="72"/>
  <c r="D6" i="53"/>
  <c r="B22" i="72"/>
  <c r="H107" i="9"/>
  <c r="D13" i="53"/>
  <c r="B30" i="72"/>
  <c r="H108" i="9"/>
  <c r="D15" i="53"/>
  <c r="B31" i="72"/>
  <c r="D14" i="53"/>
  <c r="B32" i="72"/>
  <c r="B3" i="68"/>
  <c r="C57" i="68"/>
  <c r="D35" i="9"/>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B5" i="74"/>
  <c r="C5" i="74"/>
  <c r="D5" i="74"/>
  <c r="G14" i="74"/>
  <c r="B6" i="74"/>
  <c r="C6" i="74"/>
  <c r="D6" i="74"/>
  <c r="E14" i="74"/>
  <c r="F14" i="74"/>
  <c r="C20" i="9"/>
  <c r="G20" i="9"/>
  <c r="C21" i="9"/>
  <c r="G21" i="9"/>
  <c r="D22" i="9"/>
  <c r="C56" i="68"/>
  <c r="D34" i="9"/>
  <c r="M48" i="9"/>
  <c r="D45" i="9"/>
  <c r="D52" i="9"/>
  <c r="D53" i="9"/>
  <c r="C64" i="9"/>
  <c r="C63" i="9"/>
  <c r="C67" i="9"/>
  <c r="C68" i="9"/>
  <c r="D54" i="9"/>
  <c r="D55" i="9"/>
  <c r="M53" i="9"/>
  <c r="C85" i="9"/>
  <c r="C93" i="9"/>
  <c r="C86" i="9"/>
  <c r="C95" i="9"/>
  <c r="C96" i="9"/>
  <c r="C97" i="9"/>
  <c r="D58" i="9"/>
  <c r="D56" i="9"/>
  <c r="M54" i="9"/>
  <c r="N57" i="9"/>
  <c r="M49" i="9"/>
  <c r="P57" i="9"/>
  <c r="N58" i="9"/>
  <c r="N59" i="9"/>
  <c r="N60" i="9"/>
  <c r="N61" i="9"/>
  <c r="L63" i="9"/>
  <c r="M63" i="9"/>
  <c r="L64" i="9"/>
  <c r="M64" i="9"/>
  <c r="L65" i="9"/>
  <c r="M65" i="9"/>
  <c r="L66" i="9"/>
  <c r="M66" i="9"/>
  <c r="L67" i="9"/>
  <c r="M67" i="9"/>
  <c r="L68" i="9"/>
  <c r="M68" i="9"/>
  <c r="M69" i="9"/>
  <c r="N69" i="9"/>
  <c r="C72" i="9"/>
  <c r="C78" i="9"/>
  <c r="C73" i="9"/>
  <c r="C79" i="9"/>
  <c r="C80" i="9"/>
  <c r="C81" i="9"/>
  <c r="E80" i="9"/>
  <c r="E81" i="9"/>
  <c r="E96" i="9"/>
  <c r="E97" i="9"/>
  <c r="C102" i="9"/>
  <c r="C103" i="9"/>
  <c r="C104" i="9"/>
  <c r="C105" i="9"/>
  <c r="F27" i="69"/>
  <c r="C28" i="69"/>
  <c r="C27" i="69"/>
  <c r="C29" i="69"/>
  <c r="D27" i="69"/>
  <c r="C31" i="69"/>
  <c r="C46" i="69"/>
  <c r="C45" i="69"/>
  <c r="C47" i="69"/>
  <c r="D45" i="69"/>
  <c r="C49" i="69"/>
  <c r="C51" i="69"/>
  <c r="C52" i="69"/>
  <c r="B2" i="69"/>
  <c r="B3" i="69"/>
  <c r="C57" i="69"/>
  <c r="C56" i="69"/>
  <c r="F28" i="12"/>
  <c r="C30" i="12"/>
  <c r="C28" i="12"/>
  <c r="C29" i="12"/>
  <c r="D28" i="12"/>
  <c r="C32" i="12"/>
  <c r="B2" i="12"/>
  <c r="B3" i="12"/>
  <c r="F27" i="11"/>
  <c r="C28" i="11"/>
  <c r="C27" i="11"/>
  <c r="C29" i="11"/>
  <c r="D27" i="11"/>
  <c r="C31" i="11"/>
  <c r="C46" i="11"/>
  <c r="C45" i="11"/>
  <c r="C47" i="11"/>
  <c r="D45" i="11"/>
  <c r="C49" i="11"/>
  <c r="C51" i="11"/>
  <c r="C52" i="11"/>
  <c r="B2" i="11"/>
  <c r="B3" i="11"/>
  <c r="C56" i="11"/>
  <c r="C57"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<sst xmlns="http://schemas.openxmlformats.org/spreadsheetml/2006/main" count="9146" uniqueCount="3326">
  <si>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</si>
  <si>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</si>
  <si>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</si>
  <si>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</si>
  <si>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</si>
  <si>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</si>
  <si>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</si>
  <si>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</si>
  <si>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</si>
  <si>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</si>
  <si>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</si>
  <si>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</si>
  <si>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</si>
  <si>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</si>
  <si>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</si>
  <si>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</si>
  <si>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</si>
  <si>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</si>
  <si>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</si>
  <si>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</si>
  <si>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</si>
  <si>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</si>
  <si>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</si>
  <si>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</si>
  <si>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</si>
  <si>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</si>
  <si>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</si>
  <si>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</si>
  <si>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</si>
  <si>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</si>
  <si>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</si>
  <si>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</si>
  <si>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</si>
  <si>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</si>
  <si>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</si>
  <si>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</si>
  <si>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</si>
  <si>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</si>
  <si>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</si>
  <si>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</si>
  <si>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</si>
  <si>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</si>
  <si>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</si>
  <si>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</si>
  <si>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</si>
  <si>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</si>
  <si>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</si>
  <si>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</si>
  <si>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</si>
  <si>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</si>
  <si>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</si>
  <si>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</si>
  <si>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</si>
  <si>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</si>
  <si>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</si>
  <si>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</si>
  <si>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</si>
  <si>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</si>
  <si>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</si>
  <si>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</si>
  <si>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</si>
  <si>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</si>
  <si>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</si>
  <si>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</si>
  <si>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</si>
  <si>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</si>
  <si>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</si>
  <si>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</si>
  <si>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</si>
  <si>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</si>
  <si>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</si>
  <si>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</si>
  <si>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</si>
  <si>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</si>
  <si>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</si>
  <si>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</si>
  <si>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</si>
  <si>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</si>
  <si>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</si>
  <si>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</si>
  <si>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</si>
  <si>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</si>
  <si>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</si>
  <si>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</si>
  <si>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</si>
  <si>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</si>
  <si>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</si>
  <si>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</si>
  <si>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</si>
  <si>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</si>
  <si>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</si>
  <si>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</si>
  <si>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</si>
  <si>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</si>
  <si>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</si>
  <si>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</si>
  <si>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</si>
  <si>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</si>
  <si>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</si>
  <si>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</si>
  <si>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</si>
  <si>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</si>
  <si>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</si>
  <si>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</si>
  <si>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</si>
  <si>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</si>
  <si>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</si>
  <si>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</si>
  <si>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</si>
  <si>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</si>
  <si>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</si>
  <si>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</si>
  <si>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</si>
  <si>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</si>
  <si>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</si>
  <si>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</si>
  <si>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</si>
  <si>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</si>
  <si>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</si>
  <si>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</si>
  <si>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</si>
  <si>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</si>
  <si>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</si>
  <si>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</si>
  <si>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</si>
  <si>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</si>
  <si>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</si>
  <si>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</si>
  <si>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</si>
  <si>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</si>
  <si>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</si>
  <si>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</si>
  <si>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</si>
  <si>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</si>
  <si>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</si>
  <si>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</si>
  <si>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</si>
  <si>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</si>
  <si>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</si>
  <si>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</si>
  <si>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</si>
  <si>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</si>
  <si>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</si>
  <si>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</si>
  <si>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</si>
  <si>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</si>
  <si>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</si>
  <si>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</si>
  <si>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</si>
  <si>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</si>
  <si>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</si>
  <si>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</si>
  <si>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</si>
  <si>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</si>
  <si>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</si>
  <si>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</si>
  <si>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</si>
  <si>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</si>
  <si>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</si>
  <si>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</si>
  <si>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</si>
  <si>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</si>
  <si>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</si>
  <si>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</si>
  <si>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</si>
  <si>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</si>
  <si>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</si>
  <si>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</si>
  <si>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</si>
  <si>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</si>
  <si>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</si>
  <si>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</si>
  <si>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</si>
  <si>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</si>
  <si>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</si>
  <si>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</si>
  <si>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</si>
  <si>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</si>
  <si>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</si>
  <si>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</si>
  <si>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</si>
  <si>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</si>
  <si>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</si>
  <si>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</si>
  <si>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</si>
  <si>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</si>
  <si>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</si>
  <si>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</si>
  <si>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</si>
  <si>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</si>
  <si>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</si>
  <si>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</si>
  <si>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</si>
  <si>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</si>
  <si>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</si>
  <si>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</si>
  <si>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</si>
  <si>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</si>
  <si>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</si>
  <si>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</si>
  <si>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</si>
  <si>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</si>
  <si>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</si>
  <si>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</si>
  <si>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</si>
  <si>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</si>
  <si>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</si>
  <si>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</si>
  <si>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</si>
  <si>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</si>
  <si>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</si>
  <si>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</si>
  <si>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</si>
  <si>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</si>
  <si>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</si>
  <si>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</si>
  <si>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</si>
  <si>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</si>
  <si>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</si>
  <si>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</si>
  <si>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</si>
  <si>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</si>
  <si>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</si>
  <si>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</si>
  <si>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</si>
  <si>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</si>
  <si>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</si>
  <si>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</si>
  <si>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</si>
  <si>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</si>
  <si>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</si>
  <si>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</si>
  <si>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</si>
  <si>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</si>
  <si>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</si>
  <si>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</si>
  <si>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</si>
  <si>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</si>
  <si>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</si>
  <si>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</si>
  <si>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</si>
  <si>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</si>
  <si>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</si>
  <si>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</si>
  <si>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</si>
  <si>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</si>
  <si>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</si>
  <si>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</si>
  <si>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</si>
  <si>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</si>
  <si>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</si>
  <si>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</si>
  <si>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</si>
  <si>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</si>
  <si>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</si>
  <si>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</si>
  <si>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</si>
  <si>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</si>
  <si>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</si>
  <si>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</si>
  <si>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</si>
  <si>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</si>
  <si>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</si>
  <si>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</si>
  <si>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</si>
  <si>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</si>
  <si>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</si>
  <si>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</si>
  <si>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</si>
  <si>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</si>
  <si>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</si>
  <si>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</si>
  <si>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</si>
  <si>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</si>
  <si>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</si>
  <si>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</si>
  <si>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</si>
  <si>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</si>
  <si>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</si>
  <si>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</si>
  <si>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</si>
  <si>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</si>
  <si>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</si>
  <si>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</si>
  <si>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</si>
  <si>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</si>
  <si>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</si>
  <si>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</si>
  <si>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</si>
  <si>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</si>
  <si>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</si>
  <si>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</si>
  <si>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</si>
  <si>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</si>
  <si>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</si>
  <si>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</si>
  <si>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</si>
  <si>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</si>
  <si>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</si>
  <si>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</si>
  <si>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</si>
  <si>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</si>
  <si>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</si>
  <si>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</si>
  <si>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</si>
  <si>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</si>
  <si>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</si>
  <si>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</si>
  <si>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</si>
  <si>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</si>
  <si>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</si>
  <si>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</si>
  <si>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</si>
  <si>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</si>
  <si>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</si>
  <si>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</si>
  <si>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</si>
  <si>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</si>
  <si>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</si>
  <si>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</si>
  <si>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</si>
  <si>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</si>
  <si>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</si>
  <si>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</si>
  <si>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</si>
  <si>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</si>
  <si>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</si>
  <si>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</si>
  <si>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</si>
  <si>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</si>
  <si>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</si>
  <si>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</si>
  <si>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</si>
  <si>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</si>
  <si>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</si>
  <si>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</si>
  <si>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</si>
  <si>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</si>
  <si>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</si>
  <si>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</si>
  <si>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</si>
  <si>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</si>
  <si>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</si>
  <si>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</si>
  <si>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</si>
  <si>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</si>
  <si>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</si>
  <si>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</si>
  <si>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</si>
  <si>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</si>
  <si>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</si>
  <si>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</si>
  <si>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</si>
  <si>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</si>
  <si>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</si>
  <si>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</si>
  <si>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</si>
  <si>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</si>
  <si>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</si>
  <si>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</si>
  <si>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</si>
  <si>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</si>
  <si>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</si>
  <si>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</si>
  <si>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</si>
  <si>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</si>
  <si>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</si>
  <si>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</si>
  <si>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</si>
  <si>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</si>
  <si>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</si>
  <si>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</si>
  <si>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</si>
  <si>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</si>
  <si>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</si>
  <si>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</si>
  <si>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</si>
  <si>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</si>
  <si>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</si>
  <si>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</si>
  <si>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</si>
  <si>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</si>
  <si>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</si>
  <si>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</si>
  <si>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</si>
  <si>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</si>
  <si>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</si>
  <si>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</si>
  <si>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</si>
  <si>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</si>
  <si>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</si>
  <si>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</si>
  <si>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</si>
  <si>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</si>
  <si>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</si>
  <si>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</si>
  <si>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</si>
  <si>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</si>
  <si>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</si>
  <si>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</si>
  <si>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</si>
  <si>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</si>
  <si>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</si>
  <si>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</si>
  <si>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</si>
  <si>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</si>
  <si>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</si>
  <si>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</si>
  <si>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</si>
  <si>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</si>
  <si>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</si>
  <si>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</si>
  <si>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</si>
  <si>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</si>
  <si>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</si>
  <si>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</si>
  <si>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</si>
  <si>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</si>
  <si>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</si>
  <si>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</si>
  <si>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</si>
  <si>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</si>
  <si>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</si>
  <si>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</si>
  <si>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</si>
  <si>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</si>
  <si>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</si>
  <si>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</si>
  <si>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</si>
  <si>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</si>
  <si>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</si>
  <si>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</si>
  <si>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</si>
  <si>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</si>
  <si>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</si>
  <si>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</si>
  <si>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</si>
  <si>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</si>
  <si>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</si>
  <si>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</si>
  <si>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</si>
  <si>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</si>
  <si>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</si>
  <si>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</si>
  <si>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</si>
  <si>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</si>
  <si>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</si>
  <si>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</si>
  <si>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</si>
  <si>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</si>
  <si>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</si>
  <si>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</si>
  <si>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</si>
  <si>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</si>
  <si>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</si>
  <si>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</si>
  <si>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</si>
  <si>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</si>
  <si>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</si>
  <si>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</si>
  <si>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</si>
  <si>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</si>
  <si>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</si>
  <si>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</si>
  <si>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</si>
  <si>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</si>
  <si>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</si>
  <si>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</si>
  <si>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</si>
  <si>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</si>
  <si>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</si>
  <si>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</si>
  <si>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</si>
  <si>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</si>
  <si>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</si>
  <si>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</si>
  <si>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</si>
  <si>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</si>
  <si>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</si>
  <si>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</si>
  <si>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</si>
  <si>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</si>
  <si>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</si>
  <si>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</si>
  <si>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</si>
  <si>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</si>
  <si>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</si>
  <si>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</si>
  <si>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</si>
  <si>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</si>
  <si>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</si>
  <si>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</si>
  <si>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</si>
  <si>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</si>
  <si>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</si>
  <si>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</si>
  <si>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</si>
  <si>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</si>
  <si>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</si>
  <si>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</si>
  <si>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</si>
  <si>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</si>
  <si>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</si>
  <si>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</si>
  <si>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</si>
  <si>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</si>
  <si>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</si>
  <si>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</si>
  <si>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</si>
  <si>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</si>
  <si>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</si>
  <si>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</si>
  <si>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</si>
  <si>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</si>
  <si>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</si>
  <si>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</si>
  <si>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</si>
  <si>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</si>
  <si>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</si>
  <si>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</si>
  <si>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</si>
  <si>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</si>
  <si>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</si>
  <si>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</si>
  <si>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</si>
  <si>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</si>
  <si>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</si>
  <si>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</si>
  <si>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</si>
  <si>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</si>
  <si>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</si>
  <si>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</si>
  <si>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</si>
  <si>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</si>
  <si>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</si>
  <si>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</si>
  <si>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</si>
  <si>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</si>
  <si>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</si>
  <si>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</si>
  <si>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</si>
  <si>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</si>
  <si>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</si>
  <si>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</si>
  <si>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</si>
  <si>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</si>
  <si>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</si>
  <si>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</si>
  <si>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</si>
  <si>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</si>
  <si>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</si>
  <si>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</si>
  <si>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</si>
  <si>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</si>
  <si>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</si>
  <si>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</si>
  <si>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</si>
  <si>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</si>
  <si>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</si>
  <si>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</si>
  <si>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</si>
  <si>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</si>
  <si>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</si>
  <si>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</si>
  <si>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</si>
  <si>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</si>
  <si>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</si>
  <si>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</si>
  <si>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</si>
  <si>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</si>
  <si>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</si>
  <si>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</si>
  <si>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</si>
  <si>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</si>
  <si>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</si>
  <si>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</si>
  <si>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</si>
  <si>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</si>
  <si>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</si>
  <si>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</si>
  <si>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</si>
  <si>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</si>
  <si>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</si>
  <si>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</si>
  <si>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</si>
  <si>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</si>
  <si>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</si>
  <si>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</si>
  <si>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</si>
  <si>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</si>
  <si>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</si>
  <si>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</si>
  <si>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</si>
  <si>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</si>
  <si>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</si>
  <si>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</si>
  <si>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</si>
  <si>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</si>
  <si>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</si>
  <si>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</si>
  <si>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</si>
  <si>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</si>
  <si>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</si>
  <si>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</si>
  <si>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</si>
  <si>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</si>
  <si>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</si>
  <si>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</si>
  <si>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</si>
  <si>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</si>
  <si>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</si>
  <si>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</si>
  <si>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</si>
  <si>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</si>
  <si>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</si>
  <si>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</si>
  <si>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</si>
  <si>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</si>
  <si>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</si>
  <si>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</si>
  <si>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</si>
  <si>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</si>
  <si>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</si>
  <si>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</si>
  <si>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</si>
  <si>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</si>
  <si>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</si>
  <si>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</si>
  <si>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</si>
  <si>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</si>
  <si>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</si>
  <si>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</si>
  <si>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</si>
  <si>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</si>
  <si>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</si>
  <si>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</si>
  <si>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</si>
  <si>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</si>
  <si>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</si>
  <si>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</si>
  <si>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</si>
  <si>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</si>
  <si>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</si>
  <si>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</si>
  <si>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</si>
  <si>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</si>
  <si>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</si>
  <si>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</si>
  <si>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</si>
  <si>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</si>
  <si>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</si>
  <si>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</si>
  <si>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</si>
  <si>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</si>
  <si>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</si>
  <si>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</si>
  <si>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</si>
  <si>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</si>
  <si>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</si>
  <si>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</si>
  <si>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</si>
  <si>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</si>
  <si>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</si>
  <si>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</si>
  <si>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</si>
  <si>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</si>
  <si>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</si>
  <si>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</si>
  <si>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</si>
  <si>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</si>
  <si>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</si>
  <si>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</si>
  <si>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</si>
  <si>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</si>
  <si>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</si>
  <si>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</si>
  <si>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</si>
  <si>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</si>
  <si>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</si>
  <si>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</si>
  <si>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</si>
  <si>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</si>
  <si>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</si>
  <si>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</si>
  <si>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</si>
  <si>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</si>
  <si>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</si>
  <si>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</si>
  <si>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</si>
  <si>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</si>
  <si>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</si>
  <si>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</si>
  <si>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</si>
  <si>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</si>
  <si>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</si>
  <si>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</si>
  <si>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</si>
  <si>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</si>
  <si>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</si>
  <si>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</si>
  <si>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</si>
  <si>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</si>
  <si>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</si>
  <si>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</si>
  <si>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</si>
  <si>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</si>
  <si>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</si>
  <si>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</si>
  <si>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</si>
  <si>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</si>
  <si>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</si>
  <si>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</si>
  <si>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</si>
  <si>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</si>
  <si>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</si>
  <si>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</si>
  <si>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</si>
  <si>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</si>
  <si>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</si>
  <si>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</si>
  <si>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</si>
  <si>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</si>
  <si>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</si>
  <si>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</si>
  <si>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</si>
  <si>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</si>
  <si>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</si>
  <si>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</si>
  <si>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</si>
  <si>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</si>
  <si>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</si>
  <si>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</si>
  <si>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</si>
  <si>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</si>
  <si>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</si>
  <si>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</si>
  <si>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</si>
  <si>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</si>
  <si>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</si>
  <si>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</si>
  <si>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</si>
  <si>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</si>
  <si>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</si>
  <si>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</si>
  <si>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</si>
  <si>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</si>
  <si>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</si>
  <si>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</si>
  <si>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</si>
  <si>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</si>
  <si>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</si>
  <si>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</si>
  <si>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</si>
  <si>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</si>
  <si>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</si>
  <si>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</si>
  <si>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</si>
  <si>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</si>
  <si>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</si>
  <si>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</si>
  <si>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</si>
  <si>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</si>
  <si>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</si>
  <si>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</si>
  <si>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</si>
  <si>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</si>
  <si>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</si>
  <si>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</si>
  <si>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</si>
  <si>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</si>
  <si>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</si>
  <si>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</si>
  <si>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</si>
  <si>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</si>
  <si>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</si>
  <si>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</si>
  <si>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</si>
  <si>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</si>
  <si>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</si>
  <si>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</si>
  <si>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</si>
  <si>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</si>
  <si>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</si>
  <si>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</si>
  <si>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</si>
  <si>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</si>
  <si>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</si>
  <si>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</si>
  <si>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</si>
  <si>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</si>
  <si>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</si>
  <si>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</si>
  <si>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</si>
  <si>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</si>
  <si>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</si>
  <si>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</si>
  <si>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</si>
  <si>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</si>
  <si>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</si>
  <si>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</si>
  <si>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</si>
  <si>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</si>
  <si>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</si>
  <si>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</si>
  <si>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</si>
  <si>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</si>
  <si>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</si>
  <si>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</si>
  <si>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</si>
  <si>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</si>
  <si>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</si>
  <si>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</si>
  <si>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</si>
  <si>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</si>
  <si>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</si>
  <si>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</si>
  <si>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</si>
  <si>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</si>
  <si>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</si>
  <si>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</si>
  <si>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</si>
  <si>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</si>
  <si>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</si>
  <si>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</si>
  <si>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</si>
  <si>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</si>
  <si>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</si>
  <si>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</si>
  <si>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</si>
  <si>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</si>
  <si>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</si>
  <si>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</si>
  <si>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</si>
  <si>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</si>
  <si>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</si>
  <si>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</si>
  <si>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</si>
  <si>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</si>
  <si>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</si>
  <si>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</si>
  <si>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</si>
  <si>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</si>
  <si>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</si>
  <si>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</si>
  <si>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</si>
  <si>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</si>
  <si>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</si>
  <si>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</si>
  <si>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</si>
  <si>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</si>
  <si>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</si>
  <si>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</si>
  <si>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</si>
  <si>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</si>
  <si>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</si>
  <si>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</si>
  <si>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</si>
  <si>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</si>
  <si>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</si>
  <si>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</si>
  <si>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</si>
  <si>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</si>
  <si>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</si>
  <si>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</si>
  <si>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</si>
  <si>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</si>
  <si>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</si>
  <si>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</si>
  <si>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</si>
  <si>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</si>
  <si>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</si>
  <si>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</si>
  <si>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</si>
  <si>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</si>
  <si>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</si>
  <si>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</si>
  <si>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</si>
  <si>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</si>
  <si>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</si>
  <si>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</si>
  <si>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</si>
  <si>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</si>
  <si>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</si>
  <si>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</si>
  <si>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</si>
  <si>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</si>
  <si>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</si>
  <si>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</si>
  <si>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</si>
  <si>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</si>
  <si>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</si>
  <si>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</si>
  <si>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</si>
  <si>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</si>
  <si>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</si>
  <si>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</si>
  <si>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</si>
  <si>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</si>
  <si>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</si>
  <si>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</si>
  <si>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</si>
  <si>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</si>
  <si>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</si>
  <si>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</si>
  <si>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</si>
  <si>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</si>
  <si>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</si>
  <si>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</si>
  <si>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</si>
  <si>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</si>
  <si>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</si>
  <si>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</si>
  <si>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</si>
  <si>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</si>
  <si>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</si>
  <si>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</si>
  <si>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</si>
  <si>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</si>
  <si>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</si>
  <si>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</si>
  <si>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</si>
  <si>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</si>
  <si>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</si>
  <si>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</si>
  <si>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</si>
  <si>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</si>
  <si>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</si>
  <si>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</si>
  <si>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</si>
  <si>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</si>
  <si>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</si>
  <si>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</si>
  <si>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</si>
  <si>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</si>
  <si>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</si>
  <si>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</si>
  <si>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</si>
  <si>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</si>
  <si>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</si>
  <si>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</si>
  <si>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</si>
  <si>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</si>
  <si>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</si>
  <si>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</si>
  <si>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</si>
  <si>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</si>
  <si>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</si>
  <si>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</si>
  <si>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</si>
  <si>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</si>
  <si>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</si>
  <si>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</si>
  <si>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</si>
  <si>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</si>
  <si>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</si>
  <si>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</si>
  <si>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</si>
  <si>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</si>
  <si>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</si>
  <si>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</si>
  <si>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</si>
  <si>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</si>
  <si>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</si>
  <si>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</si>
  <si>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</si>
  <si>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</si>
  <si>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</si>
  <si>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</si>
  <si>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</si>
  <si>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</si>
  <si>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</si>
  <si>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</si>
  <si>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</si>
  <si>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</si>
  <si>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</si>
  <si>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</si>
  <si>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</si>
  <si>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</si>
  <si>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</si>
  <si>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</si>
  <si>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</si>
  <si>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</si>
  <si>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</si>
  <si>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</si>
  <si>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</si>
  <si>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</si>
  <si>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</si>
  <si>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</si>
  <si>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</si>
  <si>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</si>
  <si>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</si>
  <si>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</si>
  <si>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</si>
  <si>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</si>
  <si>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</si>
  <si>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</si>
  <si>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</si>
  <si>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</si>
  <si>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</si>
  <si>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</si>
  <si>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</si>
  <si>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</si>
  <si>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</si>
  <si>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</si>
  <si>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</si>
  <si>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</si>
  <si>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</si>
  <si>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</si>
  <si>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</si>
  <si>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</si>
  <si>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</si>
  <si>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</si>
  <si>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</si>
  <si>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</si>
  <si>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</si>
  <si>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</si>
  <si>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</si>
  <si>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</si>
  <si>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</si>
  <si>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</si>
  <si>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</si>
  <si>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</si>
  <si>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</si>
  <si>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</si>
  <si>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</si>
  <si>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</si>
  <si>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</si>
  <si>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</si>
  <si>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</si>
  <si>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</si>
  <si>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</si>
  <si>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</si>
  <si>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</si>
  <si>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</si>
  <si>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</si>
  <si>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</si>
  <si>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</si>
  <si>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</si>
  <si>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</si>
  <si>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</si>
  <si>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</si>
  <si>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</si>
  <si>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</si>
  <si>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</si>
  <si>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</si>
  <si>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</si>
  <si>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</si>
  <si>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</si>
  <si>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</si>
  <si>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</si>
  <si>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</si>
  <si>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</si>
  <si>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</si>
  <si>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</si>
  <si>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</si>
  <si>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</si>
  <si>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</si>
  <si>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</si>
  <si>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</si>
  <si>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</si>
  <si>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</si>
  <si>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</si>
  <si>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</si>
  <si>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</si>
  <si>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</si>
  <si>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</si>
  <si>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</si>
  <si>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</si>
  <si>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</si>
  <si>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</si>
  <si>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</si>
  <si>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</si>
  <si>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</si>
  <si>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</si>
  <si>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</si>
  <si>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</si>
  <si>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</si>
  <si>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</si>
  <si>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</si>
  <si>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</si>
  <si>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</si>
  <si>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</si>
  <si>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</si>
  <si>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</si>
  <si>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</si>
  <si>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</si>
  <si>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</si>
  <si>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</si>
  <si>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</si>
  <si>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</si>
  <si>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</si>
  <si>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</si>
  <si>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</si>
  <si>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</si>
  <si>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</si>
  <si>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</si>
  <si>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</si>
  <si>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</si>
  <si>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</si>
  <si>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</si>
  <si>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</si>
  <si>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</si>
  <si>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</si>
  <si>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</si>
  <si>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</si>
  <si>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</si>
  <si>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</si>
  <si>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</si>
  <si>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</si>
  <si>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</si>
  <si>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</si>
  <si>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</si>
  <si>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</si>
  <si>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</si>
  <si>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</si>
  <si>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</si>
  <si>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</si>
  <si>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</si>
  <si>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</si>
  <si>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</si>
  <si>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</si>
  <si>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</si>
  <si>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</si>
  <si>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</si>
  <si>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</si>
  <si>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</si>
  <si>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</si>
  <si>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</si>
  <si>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</si>
  <si>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</si>
  <si>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</si>
  <si>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</si>
  <si>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</si>
  <si>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</si>
  <si>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</si>
  <si>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</si>
  <si>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</si>
  <si>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</si>
  <si>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</si>
  <si>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</si>
  <si>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</si>
  <si>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</si>
  <si>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</si>
  <si>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</si>
  <si>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</si>
  <si>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</si>
  <si>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</si>
  <si>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</si>
  <si>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</si>
  <si>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</si>
  <si>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</si>
  <si>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</si>
  <si>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</si>
  <si>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</si>
  <si>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</si>
  <si>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</si>
  <si>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</si>
  <si>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</si>
  <si>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</si>
  <si>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</si>
  <si>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</si>
  <si>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</si>
  <si>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</si>
  <si>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</si>
  <si>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</si>
  <si>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</si>
  <si>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</si>
  <si>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</si>
  <si>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</si>
  <si>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</si>
  <si>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</si>
  <si>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</si>
  <si>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</si>
  <si>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</si>
  <si>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</si>
  <si>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</si>
  <si>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</si>
  <si>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</si>
  <si>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</si>
  <si>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</si>
  <si>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</si>
  <si>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</si>
  <si>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</si>
  <si>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</si>
  <si>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</si>
  <si>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</si>
  <si>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</si>
  <si>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</si>
  <si>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</si>
  <si>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</si>
  <si>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</si>
  <si>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</si>
  <si>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</si>
  <si>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</si>
  <si>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</si>
  <si>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</si>
  <si>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</si>
  <si>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</si>
  <si>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</si>
  <si>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</si>
  <si>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</si>
  <si>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</si>
  <si>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</si>
  <si>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</si>
  <si>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</si>
  <si>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</si>
  <si>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</si>
  <si>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</si>
  <si>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</si>
  <si>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</si>
  <si>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</si>
  <si>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</si>
  <si>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</si>
  <si>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</si>
  <si>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</si>
  <si>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</si>
  <si>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</si>
  <si>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</si>
  <si>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</si>
  <si>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</si>
  <si>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</si>
  <si>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</si>
  <si>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</si>
  <si>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</si>
  <si>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</si>
  <si>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</si>
  <si>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</si>
  <si>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</si>
  <si>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</si>
  <si>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</si>
  <si>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</si>
  <si>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</si>
  <si>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</si>
  <si>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</si>
  <si>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</si>
  <si>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</si>
  <si>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</si>
  <si>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</si>
  <si>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</si>
  <si>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</si>
  <si>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</si>
  <si>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</si>
  <si>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</si>
  <si>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</si>
  <si>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</si>
  <si>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</si>
  <si>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</si>
  <si>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</si>
  <si>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</si>
  <si>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</si>
  <si>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</si>
  <si>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</si>
  <si>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</si>
  <si>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</si>
  <si>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</si>
  <si>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</si>
  <si>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</si>
  <si>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</si>
  <si>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</si>
  <si>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</si>
  <si>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</si>
  <si>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</si>
  <si>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</si>
  <si>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</si>
  <si>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</si>
  <si>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</si>
  <si>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</si>
  <si>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</si>
  <si>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</si>
  <si>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</si>
  <si>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</si>
  <si>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</si>
  <si>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</si>
  <si>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</si>
  <si>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</si>
  <si>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</si>
  <si>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</si>
  <si>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</si>
  <si>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</si>
  <si>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</si>
  <si>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</si>
  <si>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</si>
  <si>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</si>
  <si>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</si>
  <si>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</si>
  <si>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</si>
  <si>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</si>
  <si>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</si>
  <si>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</si>
  <si>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</si>
  <si>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</si>
  <si>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</si>
  <si>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</si>
  <si>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</si>
  <si>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</si>
  <si>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</si>
  <si>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</si>
  <si>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</si>
  <si>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</si>
  <si>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</si>
  <si>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</si>
  <si>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</si>
  <si>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</si>
  <si>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</si>
  <si>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</si>
  <si>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</si>
  <si>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</si>
  <si>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</si>
  <si>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</si>
  <si>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</si>
  <si>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</si>
  <si>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</si>
  <si>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</si>
  <si>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</si>
  <si>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</si>
  <si>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</si>
  <si>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</si>
  <si>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</si>
  <si>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</si>
  <si>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</si>
  <si>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</si>
  <si>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</si>
  <si>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</si>
  <si>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</si>
  <si>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</si>
  <si>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</si>
  <si>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</si>
  <si>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</si>
  <si>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</si>
  <si>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</si>
  <si>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</si>
  <si>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</si>
  <si>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</si>
  <si>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</si>
  <si>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</si>
  <si>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</si>
  <si>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</si>
  <si>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</si>
  <si>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</si>
  <si>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</si>
  <si>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</si>
  <si>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</si>
  <si>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</si>
  <si>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</si>
  <si>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</si>
  <si>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</si>
  <si>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</si>
  <si>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</si>
  <si>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</si>
  <si>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</si>
  <si>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</si>
  <si>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</si>
  <si>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</si>
  <si>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</si>
  <si>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</si>
  <si>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</si>
  <si>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</si>
  <si>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</si>
  <si>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</si>
  <si>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</si>
  <si>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</si>
  <si>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</si>
  <si>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</si>
  <si>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</si>
  <si>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</si>
  <si>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</si>
  <si>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</si>
  <si>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</si>
  <si>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</si>
  <si>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</si>
  <si>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</si>
  <si>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</si>
  <si>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</si>
  <si>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</si>
  <si>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</si>
  <si>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</si>
  <si>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</si>
  <si>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</si>
  <si>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</si>
  <si>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</si>
  <si>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</si>
  <si>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</si>
  <si>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</si>
  <si>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</si>
  <si>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</si>
  <si>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</si>
  <si>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</si>
  <si>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</si>
  <si>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</si>
  <si>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</si>
  <si>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</si>
  <si>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</si>
  <si>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</si>
  <si>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</si>
  <si>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</si>
  <si>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</si>
  <si>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</si>
  <si>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</si>
  <si>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</si>
  <si>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</si>
  <si>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</si>
  <si>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</si>
  <si>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</si>
  <si>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</si>
  <si>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</si>
  <si>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</si>
  <si>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</si>
  <si>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</si>
  <si>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</si>
  <si>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</si>
  <si>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</si>
  <si>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</si>
  <si>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</si>
  <si>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</si>
  <si>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</si>
  <si>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</si>
  <si>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</si>
  <si>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</si>
  <si>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</si>
  <si>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</si>
  <si>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</si>
  <si>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</si>
  <si>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</si>
  <si>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</si>
  <si>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</si>
  <si>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</si>
  <si>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</si>
  <si>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</si>
  <si>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</si>
  <si>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</si>
  <si>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</si>
  <si>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</si>
  <si>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</si>
  <si>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</si>
  <si>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</si>
  <si>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</si>
  <si>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</si>
  <si>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</si>
  <si>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</si>
  <si>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</si>
  <si>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</si>
  <si>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</si>
  <si>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</si>
  <si>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</si>
  <si>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</si>
  <si>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</si>
  <si>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</si>
  <si>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</si>
  <si>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</si>
  <si>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</si>
  <si>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</si>
  <si>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</si>
  <si>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</si>
  <si>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</si>
  <si>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</si>
  <si>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</si>
  <si>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</si>
  <si>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</si>
  <si>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</si>
  <si>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</si>
  <si>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</si>
  <si>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</si>
  <si>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</si>
  <si>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</si>
  <si>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</si>
  <si>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</si>
  <si>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</si>
  <si>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</si>
  <si>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</si>
  <si>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</si>
  <si>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</si>
  <si>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</si>
  <si>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</si>
  <si>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</si>
  <si>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</si>
  <si>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</si>
  <si>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</si>
  <si>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</si>
  <si>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</si>
  <si>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</si>
  <si>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</si>
  <si>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</si>
  <si>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</si>
  <si>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</si>
  <si>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</si>
  <si>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</si>
  <si>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</si>
  <si>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</si>
  <si>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</si>
  <si>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</si>
  <si>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</si>
  <si>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</si>
  <si>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</si>
  <si>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</si>
  <si>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</si>
  <si>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</si>
  <si>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</si>
  <si>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</si>
  <si>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</si>
  <si>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</si>
  <si>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</si>
  <si>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</si>
  <si>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</si>
  <si>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</si>
  <si>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</si>
  <si>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</si>
  <si>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</si>
  <si>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</si>
  <si>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</si>
  <si>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</si>
  <si>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</si>
  <si>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</si>
  <si>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</si>
  <si>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</si>
  <si>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</si>
  <si>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</si>
  <si>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</si>
  <si>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</si>
  <si>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</si>
  <si>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</si>
  <si>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</si>
  <si>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</si>
  <si>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</si>
  <si>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</si>
  <si>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</si>
  <si>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</si>
  <si>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</si>
  <si>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</si>
  <si>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</si>
  <si>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</si>
  <si>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</si>
  <si>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</si>
  <si>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</si>
  <si>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</si>
  <si>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</si>
  <si>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</si>
  <si>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</si>
  <si>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</si>
  <si>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</si>
  <si>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</si>
  <si>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</si>
  <si>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</si>
  <si>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</si>
  <si>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</si>
  <si>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</si>
  <si>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</si>
  <si>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</si>
  <si>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</si>
  <si>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</si>
  <si>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</si>
  <si>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</si>
  <si>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</si>
  <si>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</si>
  <si>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</si>
  <si>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</si>
  <si>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</si>
  <si>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</si>
  <si>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</si>
  <si>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</si>
  <si>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</si>
  <si>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</si>
  <si>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</si>
  <si>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</si>
  <si>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</si>
  <si>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</si>
  <si>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</si>
  <si>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</si>
  <si>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</si>
  <si>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</si>
  <si>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</si>
  <si>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</si>
  <si>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</si>
  <si>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</si>
  <si>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</si>
  <si>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</si>
  <si>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</si>
  <si>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</si>
  <si>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</si>
  <si>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</si>
  <si>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</si>
  <si>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</si>
  <si>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</si>
  <si>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</si>
  <si>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</si>
  <si>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</si>
  <si>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</si>
  <si>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</si>
  <si>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</si>
  <si>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</si>
  <si>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</si>
  <si>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</si>
  <si>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</si>
  <si>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</si>
  <si>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</si>
  <si>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</si>
  <si>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</si>
  <si>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</si>
  <si>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</si>
  <si>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</si>
  <si>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</si>
  <si>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</si>
  <si>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</si>
  <si>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</si>
  <si>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</si>
  <si>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</si>
  <si>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</si>
  <si>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</si>
  <si>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</si>
  <si>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</si>
  <si>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</si>
  <si>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</si>
  <si>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</si>
  <si>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</si>
  <si>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</si>
  <si>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</si>
  <si>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</si>
  <si>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</si>
  <si>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</si>
  <si>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</si>
  <si>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</si>
  <si>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</si>
  <si>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</si>
  <si>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</si>
  <si>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</si>
  <si>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</si>
  <si>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</si>
  <si>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</si>
  <si>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</si>
  <si>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</si>
  <si>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</si>
  <si>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</si>
  <si>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</si>
  <si>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</si>
  <si>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</si>
  <si>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</si>
  <si>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</si>
  <si>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</si>
  <si>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</si>
  <si>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</si>
  <si>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</si>
  <si>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</si>
  <si>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</si>
  <si>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</si>
  <si>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</si>
  <si>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</si>
  <si>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</si>
  <si>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</si>
  <si>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</si>
  <si>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</si>
  <si>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</si>
  <si>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</si>
  <si>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</si>
  <si>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</si>
  <si>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</si>
  <si>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</si>
  <si>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</si>
  <si>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</si>
  <si>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</si>
  <si>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</si>
  <si>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</si>
  <si>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</si>
  <si>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</si>
  <si>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</si>
  <si>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</si>
  <si>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</si>
  <si>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</si>
  <si>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</si>
  <si>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</si>
  <si>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</si>
  <si>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</si>
  <si>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</si>
  <si>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</si>
  <si>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</si>
  <si>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</si>
  <si>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</si>
  <si>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</si>
  <si>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</si>
  <si>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</si>
  <si>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</si>
  <si>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</si>
  <si>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</si>
  <si>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</si>
  <si>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</si>
  <si>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</si>
  <si>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</si>
  <si>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</si>
  <si>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</si>
  <si>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</si>
  <si>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</si>
  <si>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</si>
  <si>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</si>
  <si>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</si>
  <si>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</si>
  <si>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</si>
  <si>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</si>
  <si>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</si>
  <si>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</si>
  <si>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</si>
  <si>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</si>
  <si>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</si>
  <si>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</si>
  <si>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</si>
  <si>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</si>
  <si>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</si>
  <si>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</si>
  <si>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</si>
  <si>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</si>
  <si>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</si>
  <si>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</si>
  <si>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</si>
  <si>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</si>
  <si>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</si>
  <si>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</si>
  <si>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</si>
  <si>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</si>
  <si>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</si>
  <si>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</si>
  <si>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</si>
  <si>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</si>
  <si>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</si>
  <si>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</si>
  <si>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</si>
  <si>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</si>
  <si>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</si>
  <si>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</si>
  <si>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</si>
  <si>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</si>
  <si>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</si>
  <si>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</si>
  <si>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</si>
  <si>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</si>
  <si>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</si>
  <si>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</si>
  <si>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</si>
  <si>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</si>
  <si>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</si>
  <si>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</si>
  <si>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</si>
  <si>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</si>
  <si>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</si>
  <si>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</si>
  <si>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</si>
  <si>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</si>
  <si>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</si>
  <si>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</si>
  <si>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</si>
  <si>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</si>
  <si>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</si>
  <si>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</si>
  <si>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</si>
  <si>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</si>
  <si>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</si>
  <si>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</si>
  <si>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</si>
  <si>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</si>
  <si>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</si>
  <si>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</si>
  <si>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</si>
  <si>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</si>
  <si>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</si>
  <si>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</si>
  <si>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</si>
  <si>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</si>
  <si>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</si>
  <si>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</si>
  <si>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</si>
  <si>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</si>
  <si>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</si>
  <si>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</si>
  <si>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</si>
  <si>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</si>
  <si>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</si>
  <si>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</si>
  <si>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</si>
  <si>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</si>
  <si>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</si>
  <si>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</si>
  <si>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</si>
  <si>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</si>
  <si>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</si>
  <si>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</si>
  <si>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</si>
  <si>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</si>
  <si>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</si>
  <si>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</si>
  <si>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</si>
  <si>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</si>
  <si>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</si>
  <si>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</si>
  <si>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</si>
  <si>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</si>
  <si>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</si>
  <si>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</si>
  <si>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</si>
  <si>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</si>
  <si>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</si>
  <si>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</si>
  <si>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</si>
  <si>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</si>
  <si>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</si>
  <si>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</si>
  <si>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</si>
  <si>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</si>
  <si>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</si>
  <si>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</si>
  <si>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</si>
  <si>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</si>
  <si>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</si>
  <si>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</si>
  <si>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</si>
  <si>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</si>
  <si>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</si>
  <si>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</si>
  <si>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</si>
  <si>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</si>
  <si>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</si>
  <si>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</si>
  <si>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</si>
  <si>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</si>
  <si>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</si>
  <si>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</si>
  <si>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</si>
  <si>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</si>
  <si>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</si>
  <si>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</si>
  <si>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</si>
  <si>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</si>
  <si>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</si>
  <si>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</si>
  <si>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</si>
  <si>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</si>
  <si>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</si>
  <si>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</si>
  <si>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</si>
  <si>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</si>
  <si>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</si>
  <si>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</si>
  <si>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</si>
  <si>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</si>
  <si>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</si>
  <si>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</si>
  <si>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</si>
  <si>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</si>
  <si>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</si>
  <si>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</si>
  <si>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</si>
  <si>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</si>
  <si>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</si>
  <si>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</si>
  <si>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</si>
  <si>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</si>
  <si>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</si>
  <si>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</si>
  <si>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</si>
  <si>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</si>
  <si>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</si>
  <si>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</si>
  <si>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</si>
  <si>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</si>
  <si>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</si>
  <si>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</si>
  <si>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</si>
  <si>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</si>
  <si>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</si>
  <si>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</si>
  <si>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</si>
  <si>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</si>
  <si>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</si>
  <si>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</si>
  <si>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</si>
  <si>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</si>
  <si>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</si>
  <si>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</si>
  <si>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</si>
  <si>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</si>
  <si>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</si>
  <si>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</si>
  <si>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</si>
  <si>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</si>
  <si>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</si>
  <si>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</si>
  <si>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</si>
  <si>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</si>
  <si>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</si>
  <si>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</si>
  <si>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</si>
  <si>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</si>
  <si>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</si>
  <si>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</si>
  <si>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</si>
  <si>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</si>
  <si>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</si>
  <si>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</si>
  <si>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</si>
  <si>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</si>
  <si>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</si>
  <si>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</si>
  <si>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</si>
  <si>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</si>
  <si>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</si>
  <si>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</si>
  <si>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</si>
  <si>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</si>
  <si>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</si>
  <si>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</si>
  <si>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</si>
  <si>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</si>
  <si>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</si>
  <si>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</si>
  <si>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</si>
  <si>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</si>
  <si>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</si>
  <si>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</si>
  <si>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</si>
  <si>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</si>
  <si>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</si>
  <si>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</si>
  <si>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</si>
  <si>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</si>
  <si>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</si>
  <si>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</si>
  <si>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</si>
  <si>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</si>
  <si>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</si>
  <si>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</si>
  <si>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</si>
  <si>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</si>
  <si>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</si>
  <si>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</si>
  <si>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</si>
  <si>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</si>
  <si>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</si>
  <si>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</si>
  <si>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</si>
  <si>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</si>
  <si>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</si>
  <si>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</si>
  <si>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</si>
  <si>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</si>
  <si>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</si>
  <si>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</si>
  <si>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</si>
  <si>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</si>
  <si>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</si>
  <si>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</si>
  <si>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</si>
  <si>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</si>
  <si>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</si>
  <si>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</si>
  <si>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</si>
  <si>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</si>
  <si>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</si>
  <si>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</si>
  <si>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</si>
  <si>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</si>
  <si>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</si>
  <si>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</si>
  <si>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</si>
  <si>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</si>
  <si>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</si>
  <si>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</si>
  <si>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</si>
  <si>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</si>
  <si>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</si>
  <si>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</si>
  <si>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</si>
  <si>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</si>
  <si>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</si>
  <si>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</si>
  <si>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</si>
  <si>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</si>
  <si>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</si>
  <si>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</si>
  <si>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</si>
  <si>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</si>
  <si>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</si>
  <si>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</si>
  <si>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</si>
  <si>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</si>
  <si>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</si>
  <si>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</si>
  <si>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</si>
  <si>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</si>
  <si>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</si>
  <si>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</si>
  <si>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</si>
  <si>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</si>
  <si>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</si>
  <si>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</si>
  <si>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</si>
  <si>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</si>
  <si>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</si>
  <si>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</si>
  <si>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</si>
  <si>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</si>
  <si>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</si>
  <si>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</si>
  <si>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</si>
  <si>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</si>
  <si>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</si>
  <si>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</si>
  <si>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</si>
  <si>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</si>
  <si>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</si>
  <si>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</si>
  <si>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</si>
  <si>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</si>
  <si>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</si>
  <si>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</si>
  <si>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</si>
  <si>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</si>
  <si>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</si>
  <si>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</si>
  <si>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</si>
  <si>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</si>
  <si>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</si>
  <si>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</si>
  <si>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</si>
  <si>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</si>
  <si>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</si>
  <si>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</si>
  <si>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</si>
  <si>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</si>
  <si>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</si>
  <si>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</si>
  <si>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</si>
  <si>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</si>
  <si>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</si>
  <si>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</si>
  <si>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</si>
  <si>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</si>
  <si>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</si>
  <si>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</si>
  <si>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</si>
  <si>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</si>
  <si>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</si>
  <si>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</si>
  <si>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</si>
  <si>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</si>
  <si>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</si>
  <si>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</si>
  <si>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</si>
  <si>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</si>
  <si>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</si>
  <si>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</si>
  <si>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</si>
  <si>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</si>
  <si>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</si>
  <si>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</si>
  <si>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</si>
  <si>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</si>
  <si>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</si>
  <si>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</si>
  <si>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</si>
  <si>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</si>
  <si>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</si>
  <si>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</si>
  <si>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</si>
  <si>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</si>
  <si>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</si>
  <si>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</si>
  <si>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</si>
  <si>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</si>
  <si>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</si>
  <si>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</si>
  <si>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</si>
  <si>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</si>
  <si>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</si>
  <si>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</si>
  <si>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</si>
  <si>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</si>
  <si>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</si>
  <si>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</si>
  <si>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</si>
  <si>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</si>
  <si>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</si>
  <si>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</si>
  <si>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</si>
  <si>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</si>
  <si>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</si>
  <si>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</si>
  <si>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</si>
  <si>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</si>
  <si>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</si>
  <si>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</si>
  <si>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</si>
  <si>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</si>
  <si>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</si>
  <si>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</si>
  <si>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</si>
  <si>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</si>
  <si>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</si>
  <si>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</si>
  <si>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</si>
  <si>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</si>
  <si>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</si>
  <si>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</si>
  <si>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</si>
  <si>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</si>
  <si>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</si>
  <si>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</si>
  <si>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</si>
  <si>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</si>
  <si>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</si>
  <si>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</si>
  <si>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</si>
  <si>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</si>
  <si>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</si>
  <si>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</si>
  <si>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</si>
  <si>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</si>
  <si>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</si>
  <si>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</si>
  <si>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</si>
  <si>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</si>
  <si>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</si>
  <si>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</si>
  <si>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</si>
  <si>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</si>
  <si>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</si>
  <si>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</si>
  <si>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</si>
  <si>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</si>
  <si>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</si>
  <si>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</si>
  <si>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</si>
  <si>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</si>
  <si>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</si>
  <si>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</si>
  <si>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</si>
  <si>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</si>
  <si>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</si>
  <si>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</si>
  <si>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</si>
  <si>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</si>
  <si>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</si>
  <si>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</si>
  <si>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</si>
  <si>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</si>
  <si>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</si>
  <si>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</si>
  <si>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</si>
  <si>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</si>
  <si>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</si>
  <si>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</si>
  <si>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</si>
  <si>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</si>
  <si>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</si>
  <si>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</si>
  <si>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</si>
  <si>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</si>
  <si>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</si>
  <si>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</si>
  <si>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</si>
  <si>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</si>
  <si>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</si>
  <si>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</si>
  <si>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</si>
  <si>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</si>
  <si>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</si>
  <si>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</si>
  <si>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</si>
  <si>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</si>
  <si>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</si>
  <si>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</si>
  <si>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</si>
  <si>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</si>
  <si>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</si>
  <si>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</si>
  <si>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</si>
  <si>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</si>
  <si>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</si>
  <si>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</si>
  <si>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</si>
  <si>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</si>
  <si>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</si>
  <si>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</si>
  <si>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</si>
  <si>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</si>
  <si>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</si>
  <si>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</si>
  <si>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</si>
  <si>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</si>
  <si>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</si>
  <si>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</si>
  <si>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</si>
  <si>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</si>
  <si>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</si>
  <si>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</si>
  <si>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</si>
  <si>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</si>
  <si>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</si>
  <si>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</si>
  <si>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</si>
  <si>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</si>
  <si>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</si>
  <si>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</si>
  <si>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</si>
  <si>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</si>
  <si>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</si>
  <si>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</si>
  <si>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</si>
  <si>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</si>
  <si>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</si>
  <si>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</si>
  <si>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</si>
  <si>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</si>
  <si>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</si>
  <si>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</si>
  <si>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</si>
  <si>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</si>
  <si>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</si>
  <si>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</si>
  <si>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</si>
  <si>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</si>
  <si>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</si>
  <si>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</si>
  <si>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</si>
  <si>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</si>
  <si>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</si>
  <si>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</si>
  <si>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</si>
  <si>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</si>
  <si>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</si>
  <si>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</si>
  <si>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</si>
  <si>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</si>
  <si>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</si>
  <si>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</si>
  <si>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</si>
  <si>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</si>
  <si>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</si>
  <si>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</si>
  <si>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</si>
  <si>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</si>
  <si>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</si>
  <si>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</si>
  <si>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</si>
  <si>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</si>
  <si>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</si>
  <si>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</si>
  <si>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</si>
  <si>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</si>
  <si>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</si>
  <si>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</si>
  <si>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</si>
  <si>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</si>
  <si>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</si>
  <si>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</si>
  <si>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</si>
  <si>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</si>
  <si>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</si>
  <si>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</si>
  <si>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</si>
  <si>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</si>
  <si>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</si>
  <si>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</si>
  <si>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</si>
  <si>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</si>
  <si>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</si>
  <si>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</si>
  <si>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</si>
  <si>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</si>
  <si>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</si>
  <si>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</si>
  <si>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</si>
  <si>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</si>
  <si>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</si>
  <si>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</si>
  <si>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</si>
  <si>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</si>
  <si>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</si>
  <si>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</si>
  <si>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</si>
  <si>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</si>
  <si>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</si>
  <si>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</si>
  <si>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</si>
  <si>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</si>
  <si>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</si>
  <si>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</si>
  <si>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</si>
  <si>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</si>
  <si>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</si>
  <si>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</si>
  <si>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</si>
  <si>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</si>
  <si>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</si>
  <si>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</si>
  <si>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</si>
  <si>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</si>
  <si>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</si>
  <si>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</si>
  <si>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</si>
  <si>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</si>
  <si>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</si>
  <si>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</si>
  <si>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</si>
  <si>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</si>
  <si>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</si>
  <si>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</si>
  <si>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</si>
  <si>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</si>
  <si>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</si>
  <si>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</si>
  <si>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</si>
  <si>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</si>
  <si>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</si>
  <si>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</si>
  <si>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</si>
  <si>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</si>
  <si>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</si>
  <si>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</si>
  <si>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</si>
  <si>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</si>
  <si>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</si>
  <si>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</si>
  <si>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</si>
  <si>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</si>
  <si>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</si>
  <si>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</si>
  <si>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</si>
  <si>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</si>
  <si>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</si>
  <si>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</si>
  <si>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</si>
  <si>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</si>
  <si>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</si>
  <si>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</si>
  <si>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</si>
  <si>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</si>
  <si>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</si>
  <si>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</si>
  <si>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</si>
  <si>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</si>
  <si>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</si>
  <si>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</si>
  <si>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</si>
  <si>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</si>
  <si>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</si>
  <si>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</si>
  <si>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</si>
  <si>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</si>
  <si>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</si>
  <si>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</si>
  <si>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</si>
  <si>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</si>
  <si>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</si>
  <si>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</si>
  <si>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</si>
  <si>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</si>
  <si>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</si>
  <si>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</si>
  <si>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</si>
  <si>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</si>
  <si>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</si>
  <si>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</si>
  <si>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</si>
  <si>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</si>
  <si>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</si>
  <si>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</si>
  <si>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</si>
  <si>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</si>
  <si>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</si>
  <si>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</si>
  <si>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</si>
  <si>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</si>
  <si>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</si>
  <si>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</si>
  <si>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</si>
  <si>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</si>
  <si>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</si>
  <si>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</si>
  <si>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</si>
  <si>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</si>
  <si>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</si>
  <si>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</si>
  <si>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</si>
  <si>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</si>
  <si>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</si>
  <si>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</si>
  <si>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</si>
  <si>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</si>
  <si>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</si>
  <si>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</si>
  <si>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</si>
  <si>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</si>
  <si>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</si>
  <si>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</si>
  <si>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</si>
  <si>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</si>
  <si>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</si>
  <si>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</si>
  <si>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</si>
  <si>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</si>
  <si>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</si>
  <si>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</si>
  <si>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</si>
  <si>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</si>
  <si>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</si>
  <si>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</si>
  <si>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</si>
  <si>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</si>
  <si>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</si>
  <si>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</si>
  <si>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</si>
  <si>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</si>
  <si>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</si>
  <si>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</si>
  <si>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</si>
  <si>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</si>
  <si>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</si>
  <si>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</si>
  <si>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</si>
  <si>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</si>
  <si>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</si>
  <si>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</si>
  <si>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</si>
  <si>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</si>
  <si>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</si>
  <si>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</si>
  <si>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</si>
  <si>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</si>
  <si>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</si>
  <si>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</si>
  <si>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</si>
  <si>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</si>
  <si>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</si>
  <si>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</si>
  <si>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</si>
  <si>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</si>
  <si>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</si>
  <si>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</si>
  <si>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</si>
  <si>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</si>
  <si>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</si>
  <si>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</si>
  <si>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</si>
  <si>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</si>
  <si>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</si>
  <si>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</si>
  <si>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</si>
  <si>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</si>
  <si>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</si>
  <si>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</si>
  <si>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</si>
  <si>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</si>
  <si>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</si>
  <si>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</si>
  <si>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</si>
  <si>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</si>
  <si>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</si>
  <si>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</si>
  <si>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</si>
  <si>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</si>
  <si>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</si>
  <si>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</si>
  <si>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</si>
  <si>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</si>
  <si>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</si>
  <si>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</si>
  <si>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</si>
  <si>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</si>
  <si>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</si>
  <si>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</si>
  <si>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</si>
  <si>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</si>
  <si>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</si>
  <si>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</si>
  <si>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</si>
  <si>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</si>
  <si>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</si>
  <si>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</si>
  <si>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</si>
  <si>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</si>
  <si>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</si>
  <si>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</si>
  <si>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</si>
  <si>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</si>
  <si>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</si>
  <si>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</si>
  <si>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</si>
  <si>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</si>
  <si>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</si>
  <si>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</si>
  <si>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</si>
  <si>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</si>
  <si>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</si>
  <si>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</si>
  <si>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</si>
  <si>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</si>
  <si>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</si>
  <si>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</si>
  <si>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</si>
  <si>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</si>
  <si>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</si>
  <si>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</si>
  <si>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</si>
  <si>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</si>
  <si>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</si>
  <si>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</si>
  <si>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</si>
  <si>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</si>
  <si>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</si>
  <si>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</si>
  <si>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</si>
  <si>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</si>
  <si>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</si>
  <si>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</si>
  <si>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</si>
  <si>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</si>
  <si>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</si>
  <si>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</si>
  <si>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</si>
  <si>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</si>
  <si>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</si>
  <si>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</si>
  <si>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</si>
  <si>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</si>
  <si>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</si>
  <si>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</si>
  <si>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</si>
  <si>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</si>
  <si>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</si>
  <si>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</si>
  <si>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</si>
  <si>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</si>
  <si>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</si>
  <si>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</si>
  <si>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</si>
  <si>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</si>
  <si>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</si>
  <si>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</si>
  <si>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</si>
  <si>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</si>
  <si>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</si>
  <si>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</si>
  <si>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</si>
  <si>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</si>
  <si>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</si>
  <si>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</si>
  <si>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</si>
  <si>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</si>
  <si>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</si>
  <si>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</si>
  <si>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</si>
  <si>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</si>
  <si>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</si>
  <si>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</si>
  <si>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</si>
  <si>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</si>
  <si>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</si>
  <si>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</si>
  <si>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</si>
  <si>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</si>
  <si>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</si>
  <si>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</si>
  <si>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</si>
  <si>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</si>
  <si>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</si>
  <si>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</si>
  <si>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</si>
  <si>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</si>
  <si>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</si>
  <si>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</si>
  <si>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</si>
  <si>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</si>
  <si>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</si>
  <si>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</si>
  <si>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</si>
  <si>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</si>
  <si>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</si>
  <si>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</si>
  <si>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</si>
  <si>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</si>
  <si>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</si>
  <si>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</si>
  <si>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</si>
  <si>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</si>
  <si>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</si>
  <si>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</si>
  <si>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</si>
  <si>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</si>
  <si>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</si>
  <si>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</si>
  <si>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</si>
  <si>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</si>
  <si>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</si>
  <si>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</si>
  <si>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</si>
  <si>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</si>
  <si>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</si>
  <si>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</si>
  <si>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</si>
  <si>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</si>
  <si>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</si>
  <si>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</si>
  <si>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</si>
  <si>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</si>
  <si>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</si>
  <si>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</si>
  <si>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</si>
  <si>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</si>
  <si>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</si>
  <si>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</si>
  <si>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</si>
  <si>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</si>
  <si>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</si>
  <si>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</si>
  <si>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</si>
  <si>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</si>
  <si>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</si>
  <si>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</si>
  <si>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</si>
  <si>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</si>
  <si>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</si>
  <si>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</si>
  <si>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</si>
  <si>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</si>
  <si>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</si>
  <si>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</si>
  <si>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</si>
  <si>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</si>
  <si>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</si>
  <si>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</si>
  <si>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</si>
  <si>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</si>
  <si>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</si>
  <si>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</si>
  <si>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</si>
  <si>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</si>
  <si>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</si>
  <si>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</si>
  <si>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</si>
  <si>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</si>
  <si>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</si>
  <si>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</si>
  <si>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</si>
  <si>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</si>
  <si>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</si>
  <si>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</si>
  <si>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</si>
  <si>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</si>
  <si>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</si>
  <si>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</si>
  <si>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</si>
  <si>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</si>
  <si>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</si>
  <si>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</si>
  <si>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</si>
  <si>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</si>
  <si>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</si>
  <si>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</si>
  <si>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</si>
  <si>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</si>
  <si>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</si>
  <si>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</si>
  <si>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</si>
  <si>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</si>
  <si>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</si>
  <si>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</si>
  <si>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</si>
  <si>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</si>
  <si>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</si>
  <si>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</si>
  <si>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</si>
  <si>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</si>
  <si>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</si>
  <si>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</si>
  <si>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</si>
  <si>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</si>
  <si>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</si>
  <si>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</si>
  <si>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</si>
  <si>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</si>
  <si>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</si>
  <si>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</si>
  <si>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</si>
  <si>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</si>
  <si>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</si>
  <si>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</si>
  <si>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</si>
  <si>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</si>
  <si>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</si>
  <si>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</si>
  <si>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</si>
  <si>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</si>
  <si>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</si>
  <si>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</si>
  <si>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</si>
  <si>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</si>
  <si>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</si>
  <si>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</si>
  <si>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</si>
  <si>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</si>
  <si>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</si>
  <si>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</si>
  <si>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</si>
  <si>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</si>
  <si>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</si>
  <si>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</si>
  <si>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</si>
  <si>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</si>
  <si>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</si>
  <si>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</si>
  <si>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</si>
  <si>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</si>
  <si>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</si>
  <si>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</si>
  <si>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</si>
  <si>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</si>
  <si>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</si>
  <si>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</si>
  <si>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</si>
  <si>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</si>
  <si>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</si>
  <si>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</si>
  <si>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</si>
  <si>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</si>
  <si>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</si>
  <si>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</si>
  <si>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</si>
  <si>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</si>
  <si>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</si>
  <si>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</si>
  <si>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</si>
  <si>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</si>
  <si>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</si>
  <si>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</si>
  <si>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</si>
  <si>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</si>
  <si>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</si>
  <si>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</si>
  <si>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</si>
  <si>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</si>
  <si>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</si>
  <si>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</si>
  <si>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</si>
  <si>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</si>
  <si>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</si>
  <si>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</si>
  <si>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</si>
  <si>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</si>
  <si>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</si>
  <si>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</si>
  <si>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</si>
  <si>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</si>
  <si>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</si>
  <si>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</si>
  <si>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</si>
  <si>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</si>
  <si>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</si>
  <si>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</si>
  <si>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</si>
  <si>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</si>
  <si>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</si>
  <si>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</si>
  <si>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</si>
  <si>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</si>
  <si>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</si>
  <si>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</si>
  <si>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</si>
  <si>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</si>
  <si>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</si>
  <si>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</si>
  <si>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</si>
  <si>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</si>
  <si>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</si>
  <si>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</si>
  <si>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</si>
  <si>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</si>
  <si>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</si>
  <si>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</si>
  <si>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</si>
  <si>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</si>
  <si>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</si>
  <si>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</si>
  <si>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</si>
  <si>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</si>
  <si>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</si>
  <si>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</si>
  <si>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</si>
  <si>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</si>
  <si>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</si>
  <si>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</si>
  <si>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</si>
  <si>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</si>
  <si>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</si>
  <si>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</si>
  <si>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</si>
  <si>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</si>
  <si>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</si>
  <si>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</si>
  <si>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</si>
  <si>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</si>
  <si>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</si>
  <si>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</si>
  <si>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</si>
  <si>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</si>
  <si>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</si>
  <si>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</si>
  <si>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</si>
  <si>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</si>
  <si>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</si>
  <si>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</si>
  <si>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</si>
  <si>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</si>
  <si>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</si>
  <si>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</si>
  <si>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</si>
  <si>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</si>
  <si>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</si>
  <si>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</si>
  <si>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</si>
  <si>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</si>
  <si>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</si>
  <si>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</si>
  <si>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</si>
  <si>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</si>
  <si>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</si>
  <si>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</si>
  <si>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</si>
  <si>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</si>
  <si>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</si>
  <si>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</si>
  <si>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</si>
  <si>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</si>
  <si>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</si>
  <si>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</si>
  <si>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</si>
  <si>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</si>
  <si>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</si>
  <si>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</si>
  <si>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</si>
  <si>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</si>
  <si>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</si>
  <si>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</si>
  <si>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</si>
  <si>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</si>
  <si>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</si>
  <si>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</si>
  <si>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</si>
  <si>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</si>
  <si>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</si>
  <si>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</si>
  <si>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</si>
  <si>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</si>
  <si>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</si>
  <si>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</si>
  <si>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</si>
  <si>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</si>
  <si>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</si>
  <si>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</si>
  <si>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</si>
  <si>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</si>
  <si>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</si>
  <si>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</si>
  <si>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</si>
  <si>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</si>
  <si>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</si>
  <si>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</si>
  <si>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</si>
  <si>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</si>
  <si>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</si>
  <si>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</si>
  <si>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</si>
  <si>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</si>
  <si>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</si>
  <si>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</si>
  <si>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</si>
  <si>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</si>
  <si>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</si>
  <si>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</si>
  <si>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</si>
  <si>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</si>
  <si>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</si>
  <si>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</si>
  <si>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</si>
  <si>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</si>
  <si>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</si>
  <si>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</si>
  <si>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</si>
  <si>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</si>
  <si>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</si>
  <si>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</si>
  <si>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</si>
  <si>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</si>
  <si>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</si>
  <si>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</si>
  <si>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</si>
  <si>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</si>
  <si>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</si>
  <si>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</si>
  <si>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</si>
  <si>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</si>
  <si>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</si>
  <si>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</si>
  <si>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</si>
  <si>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</si>
  <si>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</si>
  <si>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</si>
  <si>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</si>
  <si>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</si>
  <si>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</si>
  <si>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</si>
  <si>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</si>
  <si>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</si>
  <si>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</si>
  <si>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</si>
  <si>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</si>
  <si>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</si>
  <si>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</si>
  <si>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</si>
  <si>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</si>
  <si>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</si>
  <si>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</si>
  <si>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</si>
  <si>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</si>
  <si>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</si>
  <si>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</si>
  <si>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</si>
  <si>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</si>
  <si>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</si>
  <si>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</si>
  <si>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</si>
  <si>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</si>
  <si>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</si>
  <si>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</si>
  <si>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</si>
  <si>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</si>
  <si>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</si>
  <si>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</si>
  <si>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</si>
  <si>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</si>
  <si>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</si>
  <si>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</si>
  <si>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</si>
  <si>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</si>
  <si>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</si>
  <si>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</si>
  <si>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</si>
  <si>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</si>
  <si>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</si>
  <si>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</si>
  <si>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</si>
  <si>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</si>
  <si>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</si>
  <si>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</si>
  <si>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</si>
  <si>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</si>
  <si>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</si>
  <si>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</si>
  <si>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</si>
  <si>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</si>
  <si>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</si>
  <si>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</si>
  <si>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</si>
  <si>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</si>
  <si>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</si>
  <si>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</si>
  <si>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</si>
  <si>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</si>
  <si>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</si>
  <si>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</si>
  <si>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</si>
  <si>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</si>
  <si>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</si>
  <si>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</si>
  <si>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</si>
  <si>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</si>
  <si>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</si>
  <si>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</si>
  <si>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</si>
  <si>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</si>
  <si>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</si>
  <si>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</si>
  <si>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</si>
  <si>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</si>
  <si>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</si>
  <si>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</si>
  <si>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</si>
  <si>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</si>
  <si>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</si>
  <si>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</si>
  <si>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</si>
  <si>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</si>
  <si>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</si>
  <si>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</si>
  <si>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</si>
  <si>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</si>
  <si>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</si>
  <si>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</si>
  <si>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</si>
  <si>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</si>
  <si>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</si>
  <si>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</si>
  <si>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</si>
  <si>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</si>
  <si>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</si>
  <si>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</si>
  <si>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</si>
  <si>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</si>
  <si>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</si>
  <si>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</si>
  <si>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</si>
  <si>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</si>
  <si>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</si>
  <si>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</si>
  <si>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</si>
  <si>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</si>
  <si>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</si>
  <si>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</si>
  <si>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</si>
  <si>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</si>
  <si>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</si>
  <si>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</si>
  <si>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</si>
  <si>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</si>
  <si>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</si>
  <si>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</si>
  <si>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</si>
  <si>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</si>
  <si>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</si>
  <si>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</si>
  <si>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</si>
  <si>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</si>
  <si>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</si>
  <si>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</si>
  <si>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</si>
  <si>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</si>
  <si>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</si>
  <si>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</si>
  <si>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</si>
  <si>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</si>
  <si>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</si>
  <si>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</si>
  <si>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</si>
  <si>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</si>
  <si>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</si>
  <si>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</si>
  <si>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</si>
  <si>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</si>
  <si>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</si>
  <si>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</si>
  <si>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</si>
  <si>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</si>
  <si>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商业</t>
    <phoneticPr fontId="3" type="noConversion"/>
  </si>
  <si>
    <t>办公、车库</t>
    <phoneticPr fontId="3" type="noConversion"/>
  </si>
  <si>
    <t>是</t>
  </si>
  <si>
    <t>地下</t>
  </si>
  <si>
    <t>车库</t>
  </si>
  <si>
    <t>地上</t>
  </si>
  <si>
    <t>酒店</t>
  </si>
  <si>
    <t>抵押</t>
  </si>
  <si>
    <t>房地产抵押价值</t>
  </si>
  <si>
    <t>北京市</t>
  </si>
  <si>
    <t>企业</t>
  </si>
  <si>
    <t>出让</t>
  </si>
  <si>
    <t>通路</t>
  </si>
  <si>
    <t>通电</t>
  </si>
  <si>
    <t>通讯</t>
  </si>
  <si>
    <t>通上水</t>
  </si>
  <si>
    <t>通下水</t>
  </si>
  <si>
    <t>燃气</t>
  </si>
  <si>
    <t>车库</t>
    <phoneticPr fontId="7" type="noConversion"/>
  </si>
  <si>
    <t>酒店</t>
    <phoneticPr fontId="7" type="noConversion"/>
  </si>
  <si>
    <t>成新度</t>
  </si>
  <si>
    <t>住宿餐饮用地</t>
  </si>
  <si>
    <t>容积率修正</t>
  </si>
  <si>
    <t>不临58条商业街</t>
  </si>
  <si>
    <t>六通一平</t>
  </si>
  <si>
    <t>缺少</t>
  </si>
  <si>
    <t>估价对象容积率</t>
  </si>
  <si>
    <t>商务金融用地（办公类）</t>
  </si>
  <si>
    <t>全部缴纳</t>
  </si>
  <si>
    <t>已包含在土地取得成本中</t>
  </si>
  <si>
    <t>收益法-酒店</t>
  </si>
  <si>
    <t>收益法-酒店</t>
    <phoneticPr fontId="16" type="noConversion"/>
  </si>
  <si>
    <t>收益法-车库</t>
  </si>
  <si>
    <t>收益法-车库</t>
    <phoneticPr fontId="16" type="noConversion"/>
  </si>
  <si>
    <t>商业</t>
    <phoneticPr fontId="3" type="noConversion"/>
  </si>
  <si>
    <t>车库</t>
    <phoneticPr fontId="3" type="noConversion"/>
  </si>
  <si>
    <t>自定义</t>
  </si>
  <si>
    <t>按租金收入计税</t>
  </si>
  <si>
    <t>钢混</t>
  </si>
  <si>
    <t>非生产用房</t>
  </si>
  <si>
    <t>否</t>
  </si>
  <si>
    <t>办公-出租</t>
  </si>
  <si>
    <t>办公-出租</t>
    <phoneticPr fontId="7" type="noConversion"/>
  </si>
  <si>
    <r>
      <rPr>
        <sz val="11"/>
        <color indexed="8"/>
        <rFont val="宋体"/>
        <family val="3"/>
        <charset val="134"/>
      </rPr>
      <t>办公</t>
    </r>
    <r>
      <rPr>
        <sz val="11"/>
        <color indexed="8"/>
        <rFont val="Arial"/>
        <family val="2"/>
      </rPr>
      <t>-</t>
    </r>
    <r>
      <rPr>
        <sz val="11"/>
        <color indexed="8"/>
        <rFont val="宋体"/>
        <family val="3"/>
        <charset val="134"/>
      </rPr>
      <t>未出租</t>
    </r>
    <phoneticPr fontId="7" type="noConversion"/>
  </si>
  <si>
    <t>商业</t>
    <phoneticPr fontId="143" type="noConversion"/>
  </si>
  <si>
    <t>车库</t>
    <phoneticPr fontId="143" type="noConversion"/>
  </si>
  <si>
    <t>Shun Tak Tower</t>
    <phoneticPr fontId="3" type="noConversion"/>
  </si>
  <si>
    <t>Leasing Status as at 18 Oct 2018</t>
    <phoneticPr fontId="3" type="noConversion"/>
  </si>
  <si>
    <t>Lease Term</t>
  </si>
  <si>
    <t>Fitting out period</t>
    <phoneticPr fontId="3" type="noConversion"/>
  </si>
  <si>
    <t>Rent free</t>
    <phoneticPr fontId="3" type="noConversion"/>
  </si>
  <si>
    <t>Existing Rent as at 30 2018</t>
    <phoneticPr fontId="3" type="noConversion"/>
  </si>
  <si>
    <t>Turnover</t>
    <phoneticPr fontId="263" type="noConversion"/>
  </si>
  <si>
    <t>Total Charge</t>
    <phoneticPr fontId="263" type="noConversion"/>
  </si>
  <si>
    <t>Area</t>
    <phoneticPr fontId="264" type="noConversion"/>
  </si>
  <si>
    <t>Rental</t>
    <phoneticPr fontId="3" type="noConversion"/>
  </si>
  <si>
    <t>No. of car park entittled to use</t>
    <phoneticPr fontId="3" type="noConversion"/>
  </si>
  <si>
    <t>Unit No.</t>
    <phoneticPr fontId="3" type="noConversion"/>
  </si>
  <si>
    <t>Tenant</t>
  </si>
  <si>
    <t>From</t>
  </si>
  <si>
    <t>To</t>
  </si>
  <si>
    <t>period</t>
  </si>
  <si>
    <r>
      <t>Rental/mth (RMB</t>
    </r>
    <r>
      <rPr>
        <b/>
        <sz val="14"/>
        <rFont val="細明體"/>
        <family val="3"/>
      </rPr>
      <t>￥</t>
    </r>
    <r>
      <rPr>
        <b/>
        <sz val="14"/>
        <rFont val="Times New Roman"/>
        <family val="1"/>
      </rPr>
      <t>)</t>
    </r>
  </si>
  <si>
    <t>Rent/mth (HK$)</t>
    <phoneticPr fontId="263" type="noConversion"/>
  </si>
  <si>
    <t>mth (HK$)</t>
    <phoneticPr fontId="263" type="noConversion"/>
  </si>
  <si>
    <t>sqm</t>
    <phoneticPr fontId="3" type="noConversion"/>
  </si>
  <si>
    <t>per sqm</t>
    <phoneticPr fontId="264" type="noConversion"/>
  </si>
  <si>
    <t>Remarks</t>
    <phoneticPr fontId="3" type="noConversion"/>
  </si>
  <si>
    <t>1602A</t>
    <phoneticPr fontId="3" type="noConversion"/>
  </si>
  <si>
    <t>北京黄色石头艺术工作室</t>
    <phoneticPr fontId="3" type="noConversion"/>
  </si>
  <si>
    <t>5 Apr 2016 - 4 Jun 2016</t>
    <phoneticPr fontId="3" type="noConversion"/>
  </si>
  <si>
    <t>5 Mar 2017 - 4 Apr 2017</t>
  </si>
  <si>
    <t>RMB55,440.00 ( 5 Apr 2016-4 Apr 2019)</t>
    <phoneticPr fontId="3" type="noConversion"/>
  </si>
  <si>
    <t>5 Mar 2018 - 4 Apr 2018</t>
  </si>
  <si>
    <t>RMB58,212.00 ( 5 Apr 2019-4 Apr 2020)</t>
    <phoneticPr fontId="3" type="noConversion"/>
  </si>
  <si>
    <t>5 Mar 2019 - 4 Apr 2019</t>
  </si>
  <si>
    <t>RMB61,236.00 ( 5 Apr 2020- 4 Apr 2021)</t>
    <phoneticPr fontId="3" type="noConversion"/>
  </si>
  <si>
    <t>5 Mar 2020 - 4 Apr 2020</t>
  </si>
  <si>
    <t>5 Mar 2021 - 4 Apr 2021</t>
  </si>
  <si>
    <t>1602 B</t>
    <phoneticPr fontId="3" type="noConversion"/>
  </si>
  <si>
    <t>北京黄色石头音频制品有限公司</t>
    <phoneticPr fontId="3" type="noConversion"/>
  </si>
  <si>
    <t>5 Mar 2017 - 4 Apr 2017</t>
    <phoneticPr fontId="3" type="noConversion"/>
  </si>
  <si>
    <t xml:space="preserve">RMB55,061.60 ( 5 Apr 2016 - 4 Apr 2019) </t>
    <phoneticPr fontId="3" type="noConversion"/>
  </si>
  <si>
    <t>Nil</t>
    <phoneticPr fontId="3" type="noConversion"/>
  </si>
  <si>
    <t>5 Mar 2018 - 4 Apr 2018</t>
    <phoneticPr fontId="3" type="noConversion"/>
  </si>
  <si>
    <t xml:space="preserve">RMB57,814.68 (5 Apr 2019 - 4 Apr 2020) </t>
    <phoneticPr fontId="3" type="noConversion"/>
  </si>
  <si>
    <t>5 Mar 2019 - 4 Apr 2019</t>
    <phoneticPr fontId="3" type="noConversion"/>
  </si>
  <si>
    <t>RMB60,818.04 ( 5 Apr 2020 - 4 Apr 2021)</t>
    <phoneticPr fontId="3" type="noConversion"/>
  </si>
  <si>
    <t>5 Mar 2020 - 4 Apr 2020</t>
    <phoneticPr fontId="3" type="noConversion"/>
  </si>
  <si>
    <t>5 Mar 2021 - 4 Apr 2021</t>
    <phoneticPr fontId="3" type="noConversion"/>
  </si>
  <si>
    <t>1501-1502</t>
    <phoneticPr fontId="3" type="noConversion"/>
  </si>
  <si>
    <t>北京锦绣置业有限公司</t>
    <phoneticPr fontId="3" type="noConversion"/>
  </si>
  <si>
    <t>25 Apr 2016 - 24 Jun 2016</t>
    <phoneticPr fontId="3" type="noConversion"/>
  </si>
  <si>
    <t>25 Mar 2017 -24 Apr 2017</t>
    <phoneticPr fontId="3" type="noConversion"/>
  </si>
  <si>
    <t>RMB220,189.20 (25 Apr 2016 - 24 Apr 2019</t>
    <phoneticPr fontId="3" type="noConversion"/>
  </si>
  <si>
    <t>25 Mar 2018 -24 Apr 2018</t>
    <phoneticPr fontId="3" type="noConversion"/>
  </si>
  <si>
    <t>RMB231,198.66 (25 Apr 2019 - 24 Apr 2020)</t>
    <phoneticPr fontId="3" type="noConversion"/>
  </si>
  <si>
    <t>25 Mar 2019 -24 Apr 2019</t>
    <phoneticPr fontId="3" type="noConversion"/>
  </si>
  <si>
    <t>RMB243,208.98 (25 Apr 2020 - 24 Apr 2021)</t>
    <phoneticPr fontId="3" type="noConversion"/>
  </si>
  <si>
    <t>25 Mar 2020 -24 Apr 2020</t>
    <phoneticPr fontId="3" type="noConversion"/>
  </si>
  <si>
    <t>25 Mar 2021 -24 Apr 2021</t>
    <phoneticPr fontId="3" type="noConversion"/>
  </si>
  <si>
    <t>1301 &amp; 1302</t>
    <phoneticPr fontId="3" type="noConversion"/>
  </si>
  <si>
    <t>里卡多认证（北京）有限公司</t>
    <phoneticPr fontId="3" type="noConversion"/>
  </si>
  <si>
    <t>RMB110,094.60 ( 22 Jul 2016- 21 Jul 2017)</t>
    <phoneticPr fontId="3" type="noConversion"/>
  </si>
  <si>
    <t>RMB220,189.20 (22 Jul 2017 - 21 Jul 2019)</t>
    <phoneticPr fontId="3" type="noConversion"/>
  </si>
  <si>
    <t>RMB231,198.66 (22 Jul 2019 - 21 Jul 2020)</t>
    <phoneticPr fontId="3" type="noConversion"/>
  </si>
  <si>
    <t>RMB243,208.98 (22 Jul  2020 - 21 Jul 2021)</t>
    <phoneticPr fontId="3" type="noConversion"/>
  </si>
  <si>
    <t>19F</t>
    <phoneticPr fontId="3" type="noConversion"/>
  </si>
  <si>
    <t>中国港湾工程有限责任公司</t>
    <phoneticPr fontId="3" type="noConversion"/>
  </si>
  <si>
    <t>19 Aug 2016-18 Nov 2016</t>
    <phoneticPr fontId="3" type="noConversion"/>
  </si>
  <si>
    <t>RMB243,148.8 ( 19 Aug 2016-18 Aug 2017)</t>
    <phoneticPr fontId="3" type="noConversion"/>
  </si>
  <si>
    <t>RMB486,297.60 ( 19 Aug 2017-18 Aug 2019)</t>
    <phoneticPr fontId="3" type="noConversion"/>
  </si>
  <si>
    <t>RMB510,612.48 ( 19 Aug 2019-18 Aug 2020)</t>
    <phoneticPr fontId="3" type="noConversion"/>
  </si>
  <si>
    <t>RMB536,143.10 ( 19 Aug 2020-18 Aug 2021)</t>
    <phoneticPr fontId="3" type="noConversion"/>
  </si>
  <si>
    <t>Nil</t>
    <phoneticPr fontId="3" type="noConversion"/>
  </si>
  <si>
    <t>1103A</t>
    <phoneticPr fontId="3" type="noConversion"/>
  </si>
  <si>
    <t>欧乐旅行援助（北京）有限公司</t>
    <phoneticPr fontId="3" type="noConversion"/>
  </si>
  <si>
    <t>25 Nov 2016-24 Jan 2017</t>
    <phoneticPr fontId="3" type="noConversion"/>
  </si>
  <si>
    <t>RMB60,488.4 ( 25 Nov 2016-24 Nov 2017)</t>
    <phoneticPr fontId="3" type="noConversion"/>
  </si>
  <si>
    <t>RMB72,586.08 ( 25 Nov 2017-24 Nov 2019)</t>
    <phoneticPr fontId="3" type="noConversion"/>
  </si>
  <si>
    <t>RMB76,215.38 ( 25 Nov 2019-24 Nov 2020)</t>
    <phoneticPr fontId="3" type="noConversion"/>
  </si>
  <si>
    <t>.</t>
    <phoneticPr fontId="3" type="noConversion"/>
  </si>
  <si>
    <t>RMB80,026.15 ( 25 Nov 2020- 24 Nov 2021)</t>
    <phoneticPr fontId="3" type="noConversion"/>
  </si>
  <si>
    <t>1103B</t>
    <phoneticPr fontId="3" type="noConversion"/>
  </si>
  <si>
    <t>欧善北亚咨询服务（北京）有限公司</t>
    <phoneticPr fontId="3" type="noConversion"/>
  </si>
  <si>
    <t>25 Nov 2016-24 Jan 2017</t>
    <phoneticPr fontId="3" type="noConversion"/>
  </si>
  <si>
    <t>RMB43,768.40 ( 25 Nov 2016-24 Nov 2017)</t>
    <phoneticPr fontId="3" type="noConversion"/>
  </si>
  <si>
    <t>RMB52,522.08 ( 25 Nov 2017-24 Nov 2019)</t>
    <phoneticPr fontId="3" type="noConversion"/>
  </si>
  <si>
    <t>RMB55,148.18 ( 25 Nov 2019-24 Nov 2020)</t>
    <phoneticPr fontId="3" type="noConversion"/>
  </si>
  <si>
    <t>RMB57,905.59 ( 25 Nov 2020- 24 Nov 2021)</t>
    <phoneticPr fontId="3" type="noConversion"/>
  </si>
  <si>
    <t>1601</t>
    <phoneticPr fontId="3" type="noConversion"/>
  </si>
  <si>
    <t>线众合壹（北京）科技有限公司</t>
    <phoneticPr fontId="3" type="noConversion"/>
  </si>
  <si>
    <t>30 Mar 2017-29 Apirl 2017</t>
    <phoneticPr fontId="3" type="noConversion"/>
  </si>
  <si>
    <t>RMB108,668.40( 30 Mar 2017-29 Mar 2018)</t>
    <phoneticPr fontId="3" type="noConversion"/>
  </si>
  <si>
    <t>RMB118,547.40( 30 Mar 2018-29 Mar 2019)</t>
    <phoneticPr fontId="3" type="noConversion"/>
  </si>
  <si>
    <t>RMB118,547.40 ( 30 Mar 2019-29 Mar 2020)</t>
    <phoneticPr fontId="3" type="noConversion"/>
  </si>
  <si>
    <t>1403B</t>
    <phoneticPr fontId="3" type="noConversion"/>
  </si>
  <si>
    <t>20 Mar 2017-5 Jul 2017</t>
    <phoneticPr fontId="3" type="noConversion"/>
  </si>
  <si>
    <t>Nil</t>
    <phoneticPr fontId="3" type="noConversion"/>
  </si>
  <si>
    <t>RMB37,467.24 ( 20 Mar 2017-19 Mar 2018)</t>
    <phoneticPr fontId="3" type="noConversion"/>
  </si>
  <si>
    <t>北京权承体育文化发展有限公司</t>
    <phoneticPr fontId="3" type="noConversion"/>
  </si>
  <si>
    <t>RMB52,896 ( 20 Mar 2018- 19 Mar 2019)</t>
    <phoneticPr fontId="3" type="noConversion"/>
  </si>
  <si>
    <t>RMB52,896 ( 20 Mar 2019- 19 Mar 2020)</t>
    <phoneticPr fontId="3" type="noConversion"/>
  </si>
  <si>
    <t>1404B</t>
    <phoneticPr fontId="3" type="noConversion"/>
  </si>
  <si>
    <t>北京权承石油科技有限公司</t>
    <phoneticPr fontId="3" type="noConversion"/>
  </si>
  <si>
    <t>20-Mar 2017-5 Jul 2017</t>
    <phoneticPr fontId="3" type="noConversion"/>
  </si>
  <si>
    <t>1404A</t>
    <phoneticPr fontId="3" type="noConversion"/>
  </si>
  <si>
    <t>20-Mar 2017-5 Jul 2017</t>
    <phoneticPr fontId="3" type="noConversion"/>
  </si>
  <si>
    <t>RMB37,569.12 ( 20 Mar 2017-19 Mar 2018)</t>
    <phoneticPr fontId="3" type="noConversion"/>
  </si>
  <si>
    <t>RMB53,039.84 ( 20 Mar 2018-19 Mar 2019)</t>
    <phoneticPr fontId="3" type="noConversion"/>
  </si>
  <si>
    <t>RMB53,039.84 ( 20 Mar 2019-19 Mar 2020)</t>
    <phoneticPr fontId="3" type="noConversion"/>
  </si>
  <si>
    <t>北京权承实业有限公司</t>
    <phoneticPr fontId="3" type="noConversion"/>
  </si>
  <si>
    <t>1403A</t>
    <phoneticPr fontId="3" type="noConversion"/>
  </si>
  <si>
    <t>北京权承惠众信息投资有限公司</t>
    <phoneticPr fontId="3" type="noConversion"/>
  </si>
  <si>
    <t>RMB55,398.93 ( 20 Mar 2017-19 Mar 2018)</t>
    <phoneticPr fontId="3" type="noConversion"/>
  </si>
  <si>
    <t>RMB78,211.84 ( 20 Mar 2018-19 Mar 2019)</t>
    <phoneticPr fontId="3" type="noConversion"/>
  </si>
  <si>
    <t>RMB78,211.84 ( 20 Mar 2019-19 Mar 2020)</t>
    <phoneticPr fontId="3" type="noConversion"/>
  </si>
  <si>
    <t>1503</t>
    <phoneticPr fontId="3" type="noConversion"/>
  </si>
  <si>
    <t>1 Jul 2017- 31 Aug 2017</t>
    <phoneticPr fontId="3" type="noConversion"/>
  </si>
  <si>
    <t>RMB136,924 ( 1 Jul 2017-30-Jun 2018)</t>
    <phoneticPr fontId="3" type="noConversion"/>
  </si>
  <si>
    <t>Nil</t>
    <phoneticPr fontId="3" type="noConversion"/>
  </si>
  <si>
    <t>RMB164,308.80 ( 1 Jul 2018-30-Jun 2019)</t>
    <phoneticPr fontId="3" type="noConversion"/>
  </si>
  <si>
    <t>RMB164,308.80 ( 1 Jul 2019-30-Jun 2020)</t>
    <phoneticPr fontId="3" type="noConversion"/>
  </si>
  <si>
    <t>20F</t>
    <phoneticPr fontId="3" type="noConversion"/>
  </si>
  <si>
    <t>中国港湾工程有限责任公司</t>
    <phoneticPr fontId="3" type="noConversion"/>
  </si>
  <si>
    <t>29 Jun 2017-28 Sep 2017</t>
    <phoneticPr fontId="3" type="noConversion"/>
  </si>
  <si>
    <t>RMB283,673.6 ( 29 Jun 2017-28 Jun 2018)</t>
    <phoneticPr fontId="3" type="noConversion"/>
  </si>
  <si>
    <t>Nil</t>
    <phoneticPr fontId="3" type="noConversion"/>
  </si>
  <si>
    <t>RMB567,347.20 ( 29 Jun 2018-28 Jun 2020)</t>
    <phoneticPr fontId="3" type="noConversion"/>
  </si>
  <si>
    <t>RMB595,714.56 ( 29 Jun 2020-28 Jun 2021)</t>
    <phoneticPr fontId="3" type="noConversion"/>
  </si>
  <si>
    <t>RMB625,500.29 ( 29 Jun 2021-28 Jun 2022)</t>
    <phoneticPr fontId="3" type="noConversion"/>
  </si>
  <si>
    <t>21F</t>
    <phoneticPr fontId="3" type="noConversion"/>
  </si>
  <si>
    <t>RMB303,936 ( 29 Jun 2017-28 Jun 2018)</t>
    <phoneticPr fontId="3" type="noConversion"/>
  </si>
  <si>
    <t>RMB607,872.00 ( 29 Jun 2018-28 Jun 2020)</t>
    <phoneticPr fontId="3" type="noConversion"/>
  </si>
  <si>
    <t>RMB638,265.60( 29 Jun 2020-28 Jun 2021)</t>
    <phoneticPr fontId="3" type="noConversion"/>
  </si>
  <si>
    <t>RMB670,178.88 ( 29 Jun 2021-28 Jun 2022)</t>
    <phoneticPr fontId="3" type="noConversion"/>
  </si>
  <si>
    <t>1604</t>
    <phoneticPr fontId="3" type="noConversion"/>
  </si>
  <si>
    <t>班布网络科技（北京）有限公司</t>
    <phoneticPr fontId="3" type="noConversion"/>
  </si>
  <si>
    <t>28 Jul 2017-27 Oct 2017</t>
    <phoneticPr fontId="3" type="noConversion"/>
  </si>
  <si>
    <t>RMB59,468.51 ( 28 Jul 2017-27 Jul 2018)</t>
    <phoneticPr fontId="3" type="noConversion"/>
  </si>
  <si>
    <t>RMB79,291.35 ( 28 Jul 2018-27 Jul 2019)</t>
    <phoneticPr fontId="3" type="noConversion"/>
  </si>
  <si>
    <t>RMB79,291.35 ( 28 Jul 2019-27 Jul 2020)</t>
    <phoneticPr fontId="3" type="noConversion"/>
  </si>
  <si>
    <t>1603</t>
    <phoneticPr fontId="3" type="noConversion"/>
  </si>
  <si>
    <t>北京竹间科技有限公司</t>
    <phoneticPr fontId="3" type="noConversion"/>
  </si>
  <si>
    <t>28 Jul 2017-27 Oct 2017</t>
    <phoneticPr fontId="3" type="noConversion"/>
  </si>
  <si>
    <t>RMB120,969.19 ( 28 Jul 2017-27 Jul 2018)</t>
    <phoneticPr fontId="3" type="noConversion"/>
  </si>
  <si>
    <t>Nil</t>
    <phoneticPr fontId="3" type="noConversion"/>
  </si>
  <si>
    <t>RMB161,292.25 ( 28 Jul 2018-27 Jul 2019)</t>
    <phoneticPr fontId="3" type="noConversion"/>
  </si>
  <si>
    <t>RMB161,292.25 ( 28 Jul 2019-27 Jul 2020)</t>
    <phoneticPr fontId="3" type="noConversion"/>
  </si>
  <si>
    <t>1303</t>
    <phoneticPr fontId="3" type="noConversion"/>
  </si>
  <si>
    <t>北京榆东科技有限公司</t>
    <phoneticPr fontId="3" type="noConversion"/>
  </si>
  <si>
    <t>1 Aug 2017-30 Sep 2017</t>
    <phoneticPr fontId="3" type="noConversion"/>
  </si>
  <si>
    <t>RMB134,071.42(1 Aug 2017- 31 Jul 2018)</t>
    <phoneticPr fontId="3" type="noConversion"/>
  </si>
  <si>
    <t>RMB160,885.70(1 Aug 2018- 31 Jul 2019)</t>
    <phoneticPr fontId="3" type="noConversion"/>
  </si>
  <si>
    <t>RMB160,885.70(1 Aug 2019- 31 Jul 2020)</t>
    <phoneticPr fontId="3" type="noConversion"/>
  </si>
  <si>
    <t>1402</t>
    <phoneticPr fontId="3" type="noConversion"/>
  </si>
  <si>
    <t>北京权承影视投资有限公司</t>
    <phoneticPr fontId="3" type="noConversion"/>
  </si>
  <si>
    <t>30 Nov 2017-14 Feb 2018</t>
    <phoneticPr fontId="3" type="noConversion"/>
  </si>
  <si>
    <t>RMB103,241.88 (30 Nov 2017- 29 Nov 2018)</t>
    <phoneticPr fontId="3" type="noConversion"/>
  </si>
  <si>
    <t>RMB130,410.80 (30 Nov 2018- 29 Nov 2019)</t>
    <phoneticPr fontId="3" type="noConversion"/>
  </si>
  <si>
    <t>RMB130,410.80 (30 Nov 2019- 29 Nov 2020)</t>
    <phoneticPr fontId="3" type="noConversion"/>
  </si>
  <si>
    <t>1504</t>
    <phoneticPr fontId="3" type="noConversion"/>
  </si>
  <si>
    <t>乐竞文化传媒（上海）有限公司北京分公司</t>
    <phoneticPr fontId="3" type="noConversion"/>
  </si>
  <si>
    <t>1 Dec 2017-31 Dec 2017</t>
    <phoneticPr fontId="3" type="noConversion"/>
  </si>
  <si>
    <t>RMB71,076.13 (1 Dec 2017- 30 Nov 2018)</t>
    <phoneticPr fontId="3" type="noConversion"/>
  </si>
  <si>
    <t>RMB77,537.60 (1 Dec 2018- 30 Nov 2019)</t>
    <phoneticPr fontId="3" type="noConversion"/>
  </si>
  <si>
    <t>RMB77,537.60 (1 Dec 2019- 30 Nov 2020)</t>
    <phoneticPr fontId="3" type="noConversion"/>
  </si>
  <si>
    <t>1101A</t>
    <phoneticPr fontId="3" type="noConversion"/>
  </si>
  <si>
    <t>北京瑞知金诚科技有限责任公司</t>
    <phoneticPr fontId="3" type="noConversion"/>
  </si>
  <si>
    <t>25 Dec 2017-24 Feb 2018</t>
    <phoneticPr fontId="3" type="noConversion"/>
  </si>
  <si>
    <t>RMB52,434.38 (25 Dec 2017- 24 Dec 2018)</t>
    <phoneticPr fontId="3" type="noConversion"/>
  </si>
  <si>
    <t>RMB62,921.25 (25 Dec 2018- 24 Dec 2019)</t>
    <phoneticPr fontId="3" type="noConversion"/>
  </si>
  <si>
    <t>RMB62,921.25 (25 Dec 2019- 24 Dec 2020)</t>
    <phoneticPr fontId="3" type="noConversion"/>
  </si>
  <si>
    <t>1401</t>
    <phoneticPr fontId="3" type="noConversion"/>
  </si>
  <si>
    <t>北京西坞牧人文化传播有限责任公司</t>
    <phoneticPr fontId="3" type="noConversion"/>
  </si>
  <si>
    <t>28 Jun 2018-13 Sep 2018</t>
    <phoneticPr fontId="3" type="noConversion"/>
  </si>
  <si>
    <t>Nil</t>
    <phoneticPr fontId="3" type="noConversion"/>
  </si>
  <si>
    <t>RMB100,792.15 ( 28 Jun 2018 - 27 Jun 2019)</t>
    <phoneticPr fontId="3" type="noConversion"/>
  </si>
  <si>
    <r>
      <t>RMB127,316.40 ( 28 Jun 2019 - 27 Jun 2020</t>
    </r>
    <r>
      <rPr>
        <sz val="14"/>
        <rFont val="宋体"/>
        <family val="3"/>
        <charset val="134"/>
      </rPr>
      <t>）</t>
    </r>
    <phoneticPr fontId="3" type="noConversion"/>
  </si>
  <si>
    <r>
      <t>RMB127,316.40 ( 28 Jun 2020 - 27 Jun 2021</t>
    </r>
    <r>
      <rPr>
        <sz val="14"/>
        <rFont val="宋体"/>
        <family val="3"/>
        <charset val="134"/>
      </rPr>
      <t>）</t>
    </r>
    <phoneticPr fontId="3" type="noConversion"/>
  </si>
  <si>
    <t>北京五道口投资基金管理有限公司</t>
    <phoneticPr fontId="3" type="noConversion"/>
  </si>
  <si>
    <t>1 Aug 18 - 15 Sep 19</t>
    <phoneticPr fontId="3" type="noConversion"/>
  </si>
  <si>
    <t>RMB80,890.43 ( 1 Aug 2018-31 Jul 2019)</t>
    <phoneticPr fontId="3" type="noConversion"/>
  </si>
  <si>
    <t>RMB92,446.20 ( 1 Aug 2019- 31 Jul 2020)</t>
    <phoneticPr fontId="3" type="noConversion"/>
  </si>
  <si>
    <t>RMB92,446.20 ( 1 Aug 2020- 31 Jul 2021)</t>
    <phoneticPr fontId="3" type="noConversion"/>
  </si>
  <si>
    <t>RMB97,068.51 ( 1 Aug 2021-31 Jul 2022)</t>
    <phoneticPr fontId="3" type="noConversion"/>
  </si>
  <si>
    <t>RMB101,921.94 ( 1 Aug 2022-31 Jul 2023)</t>
    <phoneticPr fontId="3" type="noConversion"/>
  </si>
  <si>
    <t>1101B</t>
    <phoneticPr fontId="3" type="noConversion"/>
  </si>
  <si>
    <t>北京莲和无限医疗科技有限公司</t>
    <phoneticPr fontId="3" type="noConversion"/>
  </si>
  <si>
    <t>10 Aug 18-25 Oct 18</t>
    <phoneticPr fontId="3" type="noConversion"/>
  </si>
  <si>
    <t>RMB80,469.37 ( 10 Aug 2018-9 Aug 2019)</t>
    <phoneticPr fontId="3" type="noConversion"/>
  </si>
  <si>
    <t>RMB101,645.52 ( 10 Aug 2019-9 Aug 2020)</t>
    <phoneticPr fontId="3" type="noConversion"/>
  </si>
  <si>
    <t>RMB101,645.52 ( 10 Aug 2020-9 Aug 2021)</t>
    <phoneticPr fontId="3" type="noConversion"/>
  </si>
  <si>
    <t>大连合盛达森国际工程承包有限公司</t>
    <phoneticPr fontId="3" type="noConversion"/>
  </si>
  <si>
    <t>8-Aug 18-13 Oct 18</t>
    <phoneticPr fontId="3" type="noConversion"/>
  </si>
  <si>
    <t>RMB71151.33 ( 8 Aug 2018-7 Aug 2019)</t>
    <phoneticPr fontId="3" type="noConversion"/>
  </si>
  <si>
    <t>RMB81315.81 ( 8 Aug 2019-7 Aug 2020)</t>
    <phoneticPr fontId="3" type="noConversion"/>
  </si>
  <si>
    <t>RMB81315.81 ( 8 Aug 2020-7 Aug 2021)</t>
    <phoneticPr fontId="3" type="noConversion"/>
  </si>
  <si>
    <t>润东医药研发（上海）有限公司</t>
    <phoneticPr fontId="3" type="noConversion"/>
  </si>
  <si>
    <t>30-Dec 18-28-Feb 19</t>
    <phoneticPr fontId="3" type="noConversion"/>
  </si>
  <si>
    <t>Nil</t>
  </si>
  <si>
    <t>RMB 140129.79 (30 Dec 2018-29 Dec 2019)</t>
    <phoneticPr fontId="3" type="noConversion"/>
  </si>
  <si>
    <t>RMB 168155.75 (30 Dec 2019-29 Dec 2020)</t>
    <phoneticPr fontId="3" type="noConversion"/>
  </si>
  <si>
    <t>RMB 168155.75 (30 Dec 2020-29 Dec 2021)</t>
    <phoneticPr fontId="3" type="noConversion"/>
  </si>
  <si>
    <t>RMB 176563.54 (30 Dec 2021-29 Dec 2022)</t>
    <phoneticPr fontId="3" type="noConversion"/>
  </si>
  <si>
    <t>RMB 185390  (30 Dec 2022-29 Dec 2023)</t>
    <phoneticPr fontId="3" type="noConversion"/>
  </si>
  <si>
    <t>Leased :</t>
    <phoneticPr fontId="263" type="noConversion"/>
  </si>
  <si>
    <t xml:space="preserve"> </t>
    <phoneticPr fontId="264" type="noConversion"/>
  </si>
  <si>
    <t>AVE/R.O.O.</t>
    <phoneticPr fontId="263" type="noConversion"/>
  </si>
  <si>
    <t>LOI</t>
    <phoneticPr fontId="3" type="noConversion"/>
  </si>
  <si>
    <t>办公-出租</t>
    <phoneticPr fontId="143" type="noConversion"/>
  </si>
  <si>
    <t>办公-未出租</t>
  </si>
  <si>
    <t>办公-未出租</t>
    <phoneticPr fontId="143" type="noConversion"/>
  </si>
  <si>
    <t>押一</t>
  </si>
  <si>
    <t>收益法-办公未出租</t>
  </si>
  <si>
    <t>收益法-办公未出租</t>
    <phoneticPr fontId="16" type="noConversion"/>
  </si>
  <si>
    <t>收益法-办公出租</t>
  </si>
  <si>
    <t>收益法-办公出租</t>
    <phoneticPr fontId="16" type="noConversion"/>
  </si>
  <si>
    <t>成本法</t>
  </si>
  <si>
    <t>收益法（汇总）</t>
  </si>
  <si>
    <t>成本比率</t>
  </si>
  <si>
    <t>现房</t>
  </si>
  <si>
    <t>估价对象位于东直门商圈，周边商业氛围成熟，人流量大，商业繁华度好</t>
    <phoneticPr fontId="25" type="noConversion"/>
  </si>
  <si>
    <t>估价对象位于东直门商圈，周边办公楼项目较多，入驻率高，办公集聚程度较好</t>
    <phoneticPr fontId="25" type="noConversion"/>
  </si>
  <si>
    <t>估价对象周边道路状况较好（机场高速、香河园路）、公共交通较通达（2、机场线东直门站，18路、916路香河园路，359、915路东直门外站）、停车便捷程度，综合评价交通便捷度较好</t>
    <phoneticPr fontId="41" type="noConversion"/>
  </si>
  <si>
    <t>估价对象所在区域公共配套设施齐备</t>
    <phoneticPr fontId="41" type="noConversion"/>
  </si>
  <si>
    <t>估价对象所在区域基础设施水平较高</t>
    <phoneticPr fontId="25" type="noConversion"/>
  </si>
  <si>
    <t>区域自然环境：廉政文化公园；人文环境：自来水博物馆；综合评价环境状况较好</t>
    <phoneticPr fontId="41" type="noConversion"/>
  </si>
  <si>
    <t>单面临街</t>
  </si>
  <si>
    <t>较一致</t>
    <phoneticPr fontId="25" type="noConversion"/>
  </si>
  <si>
    <t>2018-1-0895-P01DYGJ1</t>
    <phoneticPr fontId="6" type="noConversion"/>
  </si>
  <si>
    <t>崔锴</t>
  </si>
  <si>
    <t>欧红伟</t>
  </si>
  <si>
    <t>北京万国城酒店运营管理有限公司</t>
  </si>
  <si>
    <t>工商银行总行北京分行东城支行</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</si>
  <si>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103218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</si>
  <si>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00294</t>
    </r>
    <r>
      <rPr>
        <sz val="12"/>
        <color theme="9" tint="-0.249977111117893"/>
        <rFont val="宋体"/>
        <family val="3"/>
        <charset val="134"/>
      </rPr>
      <t>号</t>
    </r>
    <r>
      <rPr>
        <sz val="12"/>
        <color theme="9" tint="-0.249977111117893"/>
        <rFont val="Arial"/>
        <family val="2"/>
      </rPr>
      <t>]</t>
    </r>
    <phoneticPr fontId="6" type="noConversion"/>
  </si>
  <si>
    <t>原件</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</si>
  <si>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t>
    </r>
    <r>
      <rPr>
        <sz val="12"/>
        <color theme="9" tint="-0.249977111117893"/>
        <rFont val="宋体"/>
        <family val="3"/>
        <charset val="134"/>
      </rPr>
      <t>号楼</t>
    </r>
    <phoneticPr fontId="6" type="noConversion"/>
  </si>
  <si>
    <t>办公、车库、酒店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</si>
</sst>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name val="Times New Roman"/>
      <family val="1"/>
    </font>
    <font>
      <b/>
      <sz val="12"/>
      <name val="Times New Roman"/>
      <family val="1"/>
    </font>
    <font>
      <sz val="12"/>
      <name val="Times New Roman"/>
      <family val="1"/>
    </font>
    <font>
      <sz val="12"/>
      <color theme="1"/>
      <name val="Times New Roman"/>
      <family val="1"/>
    </font>
    <font>
      <sz val="10"/>
      <name val="Times New Roman"/>
      <family val="1"/>
    </font>
    <font>
      <sz val="10"/>
      <color theme="1"/>
      <name val="Times New Roman"/>
      <family val="1"/>
    </font>
    <font>
      <b/>
      <sz val="10"/>
      <name val="Times New Roman"/>
      <family val="1"/>
    </font>
    <font>
      <b/>
      <sz val="14"/>
      <name val="Times New Roman"/>
      <family val="1"/>
    </font>
    <font>
      <sz val="9"/>
      <name val="新細明體"/>
      <family val="1"/>
    </font>
    <font>
      <sz val="9"/>
      <name val="細明體"/>
      <family val="3"/>
    </font>
    <font>
      <sz val="14"/>
      <name val="Times New Roman"/>
      <family val="1"/>
    </font>
    <font>
      <b/>
      <sz val="14"/>
      <name val="細明體"/>
      <family val="3"/>
    </font>
    <font>
      <sz val="14"/>
      <name val="宋体"/>
      <family val="3"/>
      <charset val="134"/>
    </font>
    <font>
      <sz val="9"/>
      <name val="Times New Roman"/>
      <family val="1"/>
    </font>
    <font>
      <sz val="11"/>
      <color rgb="FF282828"/>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37" fontId="255" fillId="0" borderId="0"/>
  </cellStyleXfs>
  <cellXfs count="3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9" fontId="47" fillId="0" borderId="2" xfId="0" applyNumberFormat="1"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37" fontId="50" fillId="3" borderId="3" xfId="0" applyNumberFormat="1" applyFont="1" applyFill="1" applyBorder="1" applyProtection="1">
      <alignment vertical="center"/>
      <protection locked="0"/>
    </xf>
    <xf numFmtId="37" fontId="47" fillId="3" borderId="22" xfId="0" applyNumberFormat="1" applyFont="1" applyFill="1" applyBorder="1" applyProtection="1">
      <alignment vertical="center"/>
      <protection locked="0"/>
    </xf>
    <xf numFmtId="0" fontId="99" fillId="0" borderId="0" xfId="0" applyFont="1">
      <alignment vertical="center"/>
    </xf>
    <xf numFmtId="37" fontId="256" fillId="0" borderId="0" xfId="18" applyFont="1" applyAlignment="1"/>
    <xf numFmtId="37" fontId="257" fillId="7" borderId="0" xfId="18" applyFont="1" applyFill="1" applyAlignment="1"/>
    <xf numFmtId="14" fontId="257" fillId="0" borderId="0" xfId="18" applyNumberFormat="1" applyFont="1" applyAlignment="1">
      <alignment horizontal="centerContinuous"/>
    </xf>
    <xf numFmtId="37" fontId="257" fillId="0" borderId="0" xfId="18" applyFont="1" applyAlignment="1">
      <alignment horizontal="centerContinuous"/>
    </xf>
    <xf numFmtId="43" fontId="257" fillId="7" borderId="0" xfId="17" applyFont="1" applyFill="1" applyAlignment="1">
      <alignment horizontal="right"/>
    </xf>
    <xf numFmtId="37" fontId="257" fillId="0" borderId="0" xfId="18" applyFont="1" applyAlignment="1"/>
    <xf numFmtId="40" fontId="257" fillId="0" borderId="0" xfId="18" applyNumberFormat="1" applyFont="1" applyAlignment="1">
      <alignment horizontal="centerContinuous"/>
    </xf>
    <xf numFmtId="10" fontId="257" fillId="0" borderId="0" xfId="18" applyNumberFormat="1" applyFont="1" applyAlignment="1">
      <alignment horizontal="centerContinuous"/>
    </xf>
    <xf numFmtId="37" fontId="257" fillId="0" borderId="0" xfId="18" applyFont="1" applyAlignment="1">
      <alignment horizontal="left"/>
    </xf>
    <xf numFmtId="37" fontId="257" fillId="0" borderId="0" xfId="18" applyFont="1"/>
    <xf numFmtId="43" fontId="257" fillId="0" borderId="0" xfId="17" applyFont="1" applyAlignment="1"/>
    <xf numFmtId="14" fontId="258" fillId="0" borderId="0" xfId="18" applyNumberFormat="1" applyFont="1" applyAlignment="1">
      <alignment horizontal="centerContinuous"/>
    </xf>
    <xf numFmtId="37" fontId="258" fillId="0" borderId="0" xfId="18" applyFont="1" applyAlignment="1">
      <alignment horizontal="centerContinuous"/>
    </xf>
    <xf numFmtId="43" fontId="258" fillId="7" borderId="0" xfId="17" applyFont="1" applyFill="1" applyAlignment="1">
      <alignment horizontal="right"/>
    </xf>
    <xf numFmtId="37" fontId="258" fillId="0" borderId="0" xfId="18" applyFont="1" applyAlignment="1"/>
    <xf numFmtId="40" fontId="258" fillId="0" borderId="0" xfId="18" applyNumberFormat="1" applyFont="1" applyAlignment="1">
      <alignment horizontal="centerContinuous"/>
    </xf>
    <xf numFmtId="10" fontId="258" fillId="0" borderId="0" xfId="18" applyNumberFormat="1" applyFont="1" applyAlignment="1">
      <alignment horizontal="centerContinuous"/>
    </xf>
    <xf numFmtId="37" fontId="259" fillId="0" borderId="0" xfId="18" applyFont="1"/>
    <xf numFmtId="37" fontId="259" fillId="7" borderId="0" xfId="18" applyFont="1" applyFill="1" applyAlignment="1"/>
    <xf numFmtId="14" fontId="259" fillId="0" borderId="0" xfId="18" applyNumberFormat="1" applyFont="1" applyAlignment="1">
      <alignment horizontal="center"/>
    </xf>
    <xf numFmtId="14" fontId="130" fillId="0" borderId="0" xfId="18" applyNumberFormat="1" applyFont="1" applyAlignment="1">
      <alignment horizontal="center"/>
    </xf>
    <xf numFmtId="37" fontId="130" fillId="0" borderId="0" xfId="18" applyFont="1" applyAlignment="1">
      <alignment horizontal="center"/>
    </xf>
    <xf numFmtId="37" fontId="130" fillId="7" borderId="0" xfId="18" applyFont="1" applyFill="1" applyAlignment="1">
      <alignment horizontal="right"/>
    </xf>
    <xf numFmtId="37" fontId="260" fillId="0" borderId="0" xfId="18" applyFont="1" applyAlignment="1">
      <alignment horizontal="center"/>
    </xf>
    <xf numFmtId="37" fontId="130" fillId="0" borderId="0" xfId="18" applyFont="1" applyAlignment="1"/>
    <xf numFmtId="40" fontId="130" fillId="0" borderId="0" xfId="18" applyNumberFormat="1" applyFont="1" applyAlignment="1">
      <alignment horizontal="center"/>
    </xf>
    <xf numFmtId="37" fontId="145" fillId="0" borderId="0" xfId="18" applyFont="1" applyAlignment="1">
      <alignment horizontal="center"/>
    </xf>
    <xf numFmtId="10" fontId="145" fillId="0" borderId="0" xfId="18" applyNumberFormat="1" applyFont="1" applyAlignment="1">
      <alignment horizontal="center"/>
    </xf>
    <xf numFmtId="37" fontId="19" fillId="0" borderId="0" xfId="18" applyFont="1" applyAlignment="1">
      <alignment horizontal="left"/>
    </xf>
    <xf numFmtId="43" fontId="259" fillId="0" borderId="0" xfId="17" applyFont="1" applyAlignment="1"/>
    <xf numFmtId="37" fontId="259" fillId="0" borderId="0" xfId="18" applyFont="1" applyAlignment="1">
      <alignment horizontal="center"/>
    </xf>
    <xf numFmtId="37" fontId="259" fillId="7" borderId="0" xfId="18" applyFont="1" applyFill="1" applyAlignment="1">
      <alignment horizontal="right"/>
    </xf>
    <xf numFmtId="37" fontId="259" fillId="0" borderId="0" xfId="18" applyFont="1" applyAlignment="1"/>
    <xf numFmtId="40" fontId="259" fillId="0" borderId="0" xfId="18" applyNumberFormat="1" applyFont="1" applyAlignment="1">
      <alignment horizontal="center"/>
    </xf>
    <xf numFmtId="37" fontId="261" fillId="0" borderId="0" xfId="18" applyFont="1" applyAlignment="1">
      <alignment horizontal="center"/>
    </xf>
    <xf numFmtId="10" fontId="261" fillId="0" borderId="0" xfId="18" applyNumberFormat="1" applyFont="1" applyAlignment="1">
      <alignment horizontal="center"/>
    </xf>
    <xf numFmtId="37" fontId="259" fillId="0" borderId="0" xfId="18" applyFont="1" applyAlignment="1">
      <alignment horizontal="left"/>
    </xf>
    <xf numFmtId="37" fontId="262" fillId="0" borderId="13" xfId="18" applyFont="1" applyBorder="1" applyAlignment="1">
      <alignment horizontal="center"/>
    </xf>
    <xf numFmtId="37" fontId="262" fillId="7" borderId="13" xfId="18" applyFont="1" applyFill="1" applyBorder="1" applyAlignment="1"/>
    <xf numFmtId="37" fontId="262" fillId="0" borderId="46" xfId="18" applyFont="1" applyBorder="1" applyAlignment="1">
      <alignment horizontal="centerContinuous"/>
    </xf>
    <xf numFmtId="37" fontId="262" fillId="0" borderId="22" xfId="18" applyFont="1" applyBorder="1" applyAlignment="1">
      <alignment horizontal="centerContinuous"/>
    </xf>
    <xf numFmtId="37" fontId="262" fillId="0" borderId="13" xfId="18" applyFont="1" applyBorder="1" applyAlignment="1">
      <alignment horizontal="center" wrapText="1"/>
    </xf>
    <xf numFmtId="37" fontId="262" fillId="7" borderId="13" xfId="18" applyFont="1" applyFill="1" applyBorder="1" applyAlignment="1">
      <alignment horizontal="right"/>
    </xf>
    <xf numFmtId="37" fontId="262" fillId="0" borderId="13" xfId="18" applyFont="1" applyBorder="1" applyAlignment="1"/>
    <xf numFmtId="40" fontId="262" fillId="0" borderId="13" xfId="18" applyNumberFormat="1" applyFont="1" applyBorder="1" applyAlignment="1">
      <alignment horizontal="center"/>
    </xf>
    <xf numFmtId="10" fontId="262" fillId="0" borderId="13" xfId="18" applyNumberFormat="1" applyFont="1" applyBorder="1" applyAlignment="1">
      <alignment horizontal="center"/>
    </xf>
    <xf numFmtId="37" fontId="265" fillId="0" borderId="13" xfId="18" applyFont="1" applyBorder="1" applyAlignment="1">
      <alignment horizontal="center"/>
    </xf>
    <xf numFmtId="37" fontId="262" fillId="0" borderId="0" xfId="18" applyFont="1"/>
    <xf numFmtId="43" fontId="262" fillId="0" borderId="0" xfId="17" applyFont="1" applyAlignment="1"/>
    <xf numFmtId="37" fontId="262" fillId="0" borderId="2" xfId="18" applyFont="1" applyBorder="1" applyAlignment="1">
      <alignment horizontal="center"/>
    </xf>
    <xf numFmtId="37" fontId="262" fillId="7" borderId="2" xfId="18" applyFont="1" applyFill="1" applyBorder="1" applyAlignment="1"/>
    <xf numFmtId="37" fontId="262" fillId="0" borderId="1" xfId="18" applyFont="1" applyBorder="1" applyAlignment="1">
      <alignment horizontal="center"/>
    </xf>
    <xf numFmtId="37" fontId="262" fillId="0" borderId="2" xfId="18" applyFont="1" applyBorder="1" applyAlignment="1">
      <alignment horizontal="center" wrapText="1"/>
    </xf>
    <xf numFmtId="37" fontId="262" fillId="7" borderId="2" xfId="18" applyFont="1" applyFill="1" applyBorder="1" applyAlignment="1">
      <alignment horizontal="right"/>
    </xf>
    <xf numFmtId="37" fontId="262" fillId="0" borderId="2" xfId="18" applyFont="1" applyBorder="1" applyAlignment="1"/>
    <xf numFmtId="40" fontId="262" fillId="0" borderId="2" xfId="18" applyNumberFormat="1" applyFont="1" applyBorder="1" applyAlignment="1">
      <alignment horizontal="center"/>
    </xf>
    <xf numFmtId="10" fontId="262" fillId="0" borderId="2" xfId="18" applyNumberFormat="1" applyFont="1" applyBorder="1" applyAlignment="1">
      <alignment horizontal="center"/>
    </xf>
    <xf numFmtId="37" fontId="265" fillId="0" borderId="2" xfId="18" applyFont="1" applyBorder="1" applyAlignment="1">
      <alignment horizontal="center"/>
    </xf>
    <xf numFmtId="37" fontId="265" fillId="0" borderId="0" xfId="18" applyFont="1"/>
    <xf numFmtId="37" fontId="265" fillId="7" borderId="0" xfId="18" applyFont="1" applyFill="1" applyAlignment="1"/>
    <xf numFmtId="14" fontId="262" fillId="0" borderId="0" xfId="18" applyNumberFormat="1" applyFont="1" applyAlignment="1">
      <alignment horizontal="center"/>
    </xf>
    <xf numFmtId="37" fontId="265" fillId="0" borderId="0" xfId="18" applyFont="1" applyAlignment="1">
      <alignment horizontal="center"/>
    </xf>
    <xf numFmtId="37" fontId="265" fillId="7" borderId="0" xfId="18" applyFont="1" applyFill="1" applyAlignment="1">
      <alignment horizontal="right"/>
    </xf>
    <xf numFmtId="37" fontId="265" fillId="0" borderId="0" xfId="18" applyFont="1" applyAlignment="1"/>
    <xf numFmtId="40" fontId="265" fillId="0" borderId="0" xfId="18" applyNumberFormat="1" applyFont="1" applyAlignment="1">
      <alignment horizontal="center"/>
    </xf>
    <xf numFmtId="37" fontId="265" fillId="0" borderId="0" xfId="18" applyFont="1" applyAlignment="1">
      <alignment horizontal="left"/>
    </xf>
    <xf numFmtId="10" fontId="265" fillId="0" borderId="0" xfId="18" applyNumberFormat="1" applyFont="1" applyAlignment="1">
      <alignment horizontal="left"/>
    </xf>
    <xf numFmtId="37" fontId="262" fillId="0" borderId="0" xfId="18" applyFont="1" applyAlignment="1">
      <alignment horizontal="left"/>
    </xf>
    <xf numFmtId="43" fontId="265" fillId="0" borderId="0" xfId="17" applyFont="1" applyAlignment="1"/>
    <xf numFmtId="15" fontId="265" fillId="5" borderId="13" xfId="18" applyNumberFormat="1" applyFont="1" applyFill="1" applyBorder="1" applyAlignment="1">
      <alignment horizontal="center"/>
    </xf>
    <xf numFmtId="15" fontId="265" fillId="5" borderId="15" xfId="18" applyNumberFormat="1" applyFont="1" applyFill="1" applyBorder="1" applyAlignment="1">
      <alignment horizontal="center"/>
    </xf>
    <xf numFmtId="0" fontId="265" fillId="5" borderId="15" xfId="0" applyFont="1" applyFill="1" applyBorder="1" applyAlignment="1">
      <alignment horizontal="left" wrapText="1"/>
    </xf>
    <xf numFmtId="10" fontId="265" fillId="5" borderId="15" xfId="0" applyNumberFormat="1" applyFont="1" applyFill="1" applyBorder="1" applyAlignment="1">
      <alignment horizontal="left" wrapText="1"/>
    </xf>
    <xf numFmtId="15" fontId="265" fillId="5" borderId="2" xfId="18" applyNumberFormat="1" applyFont="1" applyFill="1" applyBorder="1" applyAlignment="1">
      <alignment horizontal="center"/>
    </xf>
    <xf numFmtId="197" fontId="265" fillId="7" borderId="13" xfId="18" applyNumberFormat="1" applyFont="1" applyFill="1" applyBorder="1" applyAlignment="1">
      <alignment horizontal="center" vertical="center"/>
    </xf>
    <xf numFmtId="0" fontId="267" fillId="7" borderId="13" xfId="0" applyFont="1" applyFill="1" applyBorder="1" applyAlignment="1">
      <alignment vertical="center"/>
    </xf>
    <xf numFmtId="15" fontId="265" fillId="7" borderId="13" xfId="18" applyNumberFormat="1" applyFont="1" applyFill="1" applyBorder="1" applyAlignment="1">
      <alignment horizontal="center"/>
    </xf>
    <xf numFmtId="15" fontId="265" fillId="7" borderId="46" xfId="18" applyNumberFormat="1" applyFont="1" applyFill="1" applyBorder="1" applyAlignment="1">
      <alignment horizontal="center"/>
    </xf>
    <xf numFmtId="37" fontId="265" fillId="7" borderId="13" xfId="18" applyFont="1" applyFill="1" applyBorder="1" applyAlignment="1">
      <alignment horizontal="center" wrapText="1"/>
    </xf>
    <xf numFmtId="39" fontId="265" fillId="7" borderId="13" xfId="18" applyNumberFormat="1" applyFont="1" applyFill="1" applyBorder="1" applyAlignment="1">
      <alignment horizontal="right"/>
    </xf>
    <xf numFmtId="40" fontId="265" fillId="7" borderId="1" xfId="18" applyNumberFormat="1" applyFont="1" applyFill="1" applyBorder="1" applyAlignment="1"/>
    <xf numFmtId="43" fontId="265" fillId="7" borderId="13" xfId="17" applyFont="1" applyFill="1" applyBorder="1" applyAlignment="1">
      <alignment horizontal="center"/>
    </xf>
    <xf numFmtId="40" fontId="265" fillId="7" borderId="13" xfId="18" applyNumberFormat="1" applyFont="1" applyFill="1" applyBorder="1" applyAlignment="1">
      <alignment horizontal="center"/>
    </xf>
    <xf numFmtId="43" fontId="265" fillId="5" borderId="15" xfId="0" applyNumberFormat="1" applyFont="1" applyFill="1" applyBorder="1" applyAlignment="1">
      <alignment horizontal="left" wrapText="1"/>
    </xf>
    <xf numFmtId="37" fontId="265" fillId="7" borderId="13" xfId="18" applyFont="1" applyFill="1" applyBorder="1" applyAlignment="1">
      <alignment horizontal="left"/>
    </xf>
    <xf numFmtId="37" fontId="265" fillId="7" borderId="0" xfId="18" applyFont="1" applyFill="1"/>
    <xf numFmtId="43" fontId="265" fillId="7" borderId="0" xfId="17" applyFont="1" applyFill="1" applyAlignment="1"/>
    <xf numFmtId="197" fontId="265" fillId="7" borderId="15" xfId="18" applyNumberFormat="1" applyFont="1" applyFill="1" applyBorder="1" applyAlignment="1">
      <alignment horizontal="center" vertical="center"/>
    </xf>
    <xf numFmtId="0" fontId="267" fillId="7" borderId="15" xfId="0" applyFont="1" applyFill="1" applyBorder="1" applyAlignment="1">
      <alignment vertical="center"/>
    </xf>
    <xf numFmtId="15" fontId="265" fillId="7" borderId="15" xfId="18" applyNumberFormat="1" applyFont="1" applyFill="1" applyBorder="1" applyAlignment="1">
      <alignment horizontal="center"/>
    </xf>
    <xf numFmtId="15" fontId="265" fillId="7" borderId="58" xfId="18" applyNumberFormat="1" applyFont="1" applyFill="1" applyBorder="1" applyAlignment="1">
      <alignment horizontal="center"/>
    </xf>
    <xf numFmtId="37" fontId="265" fillId="7" borderId="15" xfId="18" applyFont="1" applyFill="1" applyBorder="1" applyAlignment="1">
      <alignment horizontal="center" wrapText="1"/>
    </xf>
    <xf numFmtId="39" fontId="265" fillId="7" borderId="15" xfId="18" applyNumberFormat="1" applyFont="1" applyFill="1" applyBorder="1" applyAlignment="1">
      <alignment horizontal="right"/>
    </xf>
    <xf numFmtId="43" fontId="265" fillId="7" borderId="15" xfId="17" applyFont="1" applyFill="1" applyBorder="1" applyAlignment="1">
      <alignment horizontal="center"/>
    </xf>
    <xf numFmtId="40" fontId="265" fillId="7" borderId="15" xfId="18" applyNumberFormat="1" applyFont="1" applyFill="1" applyBorder="1" applyAlignment="1">
      <alignment horizontal="center"/>
    </xf>
    <xf numFmtId="0" fontId="265" fillId="7" borderId="15" xfId="0" applyFont="1" applyFill="1" applyBorder="1" applyAlignment="1">
      <alignment horizontal="left" wrapText="1"/>
    </xf>
    <xf numFmtId="10" fontId="265" fillId="7" borderId="15" xfId="0" applyNumberFormat="1" applyFont="1" applyFill="1" applyBorder="1" applyAlignment="1">
      <alignment horizontal="left" wrapText="1"/>
    </xf>
    <xf numFmtId="37" fontId="265" fillId="7" borderId="15" xfId="18" applyFont="1" applyFill="1" applyBorder="1" applyAlignment="1">
      <alignment horizontal="left"/>
    </xf>
    <xf numFmtId="197" fontId="265" fillId="7" borderId="2" xfId="18" applyNumberFormat="1" applyFont="1" applyFill="1" applyBorder="1" applyAlignment="1">
      <alignment horizontal="center" vertical="center"/>
    </xf>
    <xf numFmtId="0" fontId="267" fillId="7" borderId="2" xfId="0" applyFont="1" applyFill="1" applyBorder="1" applyAlignment="1">
      <alignment vertical="center"/>
    </xf>
    <xf numFmtId="15" fontId="265" fillId="7" borderId="2" xfId="18" applyNumberFormat="1" applyFont="1" applyFill="1" applyBorder="1" applyAlignment="1">
      <alignment horizontal="center"/>
    </xf>
    <xf numFmtId="15" fontId="265" fillId="7" borderId="4" xfId="18" applyNumberFormat="1" applyFont="1" applyFill="1" applyBorder="1" applyAlignment="1">
      <alignment horizontal="center"/>
    </xf>
    <xf numFmtId="37" fontId="265" fillId="7" borderId="2" xfId="18" applyFont="1" applyFill="1" applyBorder="1" applyAlignment="1">
      <alignment horizontal="center" wrapText="1"/>
    </xf>
    <xf numFmtId="39" fontId="265" fillId="7" borderId="2" xfId="18" applyNumberFormat="1" applyFont="1" applyFill="1" applyBorder="1" applyAlignment="1">
      <alignment horizontal="right"/>
    </xf>
    <xf numFmtId="43" fontId="265" fillId="7" borderId="2" xfId="17" applyFont="1" applyFill="1" applyBorder="1" applyAlignment="1">
      <alignment horizontal="center"/>
    </xf>
    <xf numFmtId="40" fontId="265" fillId="7" borderId="2" xfId="18" applyNumberFormat="1" applyFont="1" applyFill="1" applyBorder="1" applyAlignment="1">
      <alignment horizontal="center"/>
    </xf>
    <xf numFmtId="37" fontId="265" fillId="7" borderId="2" xfId="18" applyFont="1" applyFill="1" applyBorder="1" applyAlignment="1">
      <alignment horizontal="left"/>
    </xf>
    <xf numFmtId="37" fontId="265" fillId="7" borderId="13" xfId="18" applyFont="1" applyFill="1" applyBorder="1" applyAlignment="1">
      <alignment horizontal="center"/>
    </xf>
    <xf numFmtId="37" fontId="267" fillId="7" borderId="13" xfId="18" applyFont="1" applyFill="1" applyBorder="1" applyAlignment="1"/>
    <xf numFmtId="39" fontId="265" fillId="7" borderId="13" xfId="18" applyNumberFormat="1" applyFont="1" applyFill="1" applyBorder="1" applyAlignment="1">
      <alignment horizontal="right" wrapText="1"/>
    </xf>
    <xf numFmtId="40" fontId="265" fillId="7" borderId="1" xfId="18" applyNumberFormat="1" applyFont="1" applyFill="1" applyBorder="1"/>
    <xf numFmtId="0" fontId="265" fillId="5" borderId="13" xfId="0" applyFont="1" applyFill="1" applyBorder="1" applyAlignment="1">
      <alignment wrapText="1"/>
    </xf>
    <xf numFmtId="0" fontId="265" fillId="5" borderId="22" xfId="0" applyFont="1" applyFill="1" applyBorder="1" applyAlignment="1">
      <alignment wrapText="1"/>
    </xf>
    <xf numFmtId="10" fontId="265" fillId="5" borderId="35" xfId="0" applyNumberFormat="1" applyFont="1" applyFill="1" applyBorder="1" applyAlignment="1">
      <alignment horizontal="left" wrapText="1"/>
    </xf>
    <xf numFmtId="37" fontId="265" fillId="7" borderId="15" xfId="18" applyFont="1" applyFill="1" applyBorder="1" applyAlignment="1">
      <alignment horizontal="center"/>
    </xf>
    <xf numFmtId="37" fontId="265" fillId="7" borderId="15" xfId="18" applyFont="1" applyFill="1" applyBorder="1" applyAlignment="1"/>
    <xf numFmtId="39" fontId="265" fillId="7" borderId="15" xfId="18" applyNumberFormat="1" applyFont="1" applyFill="1" applyBorder="1" applyAlignment="1">
      <alignment horizontal="right" wrapText="1"/>
    </xf>
    <xf numFmtId="0" fontId="265" fillId="7" borderId="15" xfId="0" applyFont="1" applyFill="1" applyBorder="1" applyAlignment="1">
      <alignment wrapText="1"/>
    </xf>
    <xf numFmtId="0" fontId="265" fillId="7" borderId="35" xfId="0" applyFont="1" applyFill="1" applyBorder="1" applyAlignment="1">
      <alignment wrapText="1"/>
    </xf>
    <xf numFmtId="10" fontId="265" fillId="7" borderId="35" xfId="0" applyNumberFormat="1" applyFont="1" applyFill="1" applyBorder="1" applyAlignment="1">
      <alignment wrapText="1"/>
    </xf>
    <xf numFmtId="37" fontId="265" fillId="7" borderId="2" xfId="18" applyFont="1" applyFill="1" applyBorder="1" applyAlignment="1">
      <alignment horizontal="center"/>
    </xf>
    <xf numFmtId="37" fontId="265" fillId="7" borderId="2" xfId="18" applyFont="1" applyFill="1" applyBorder="1" applyAlignment="1"/>
    <xf numFmtId="39" fontId="265" fillId="7" borderId="2" xfId="18" applyNumberFormat="1" applyFont="1" applyFill="1" applyBorder="1" applyAlignment="1">
      <alignment horizontal="right" wrapText="1"/>
    </xf>
    <xf numFmtId="0" fontId="265" fillId="7" borderId="2" xfId="0" applyFont="1" applyFill="1" applyBorder="1" applyAlignment="1">
      <alignment wrapText="1"/>
    </xf>
    <xf numFmtId="0" fontId="265" fillId="7" borderId="7" xfId="0" applyFont="1" applyFill="1" applyBorder="1" applyAlignment="1">
      <alignment wrapText="1"/>
    </xf>
    <xf numFmtId="10" fontId="265" fillId="7" borderId="7" xfId="0" applyNumberFormat="1" applyFont="1" applyFill="1" applyBorder="1" applyAlignment="1">
      <alignment wrapText="1"/>
    </xf>
    <xf numFmtId="37" fontId="265" fillId="0" borderId="13" xfId="18" applyFont="1" applyFill="1" applyBorder="1" applyAlignment="1">
      <alignment horizontal="center"/>
    </xf>
    <xf numFmtId="37" fontId="267" fillId="0" borderId="13" xfId="18" applyFont="1" applyFill="1" applyBorder="1" applyAlignment="1"/>
    <xf numFmtId="15" fontId="265" fillId="0" borderId="13" xfId="18" applyNumberFormat="1" applyFont="1" applyFill="1" applyBorder="1" applyAlignment="1">
      <alignment horizontal="center"/>
    </xf>
    <xf numFmtId="15" fontId="265" fillId="0" borderId="46" xfId="18" applyNumberFormat="1" applyFont="1" applyFill="1" applyBorder="1" applyAlignment="1">
      <alignment horizontal="center"/>
    </xf>
    <xf numFmtId="37" fontId="265" fillId="0" borderId="13" xfId="18" applyFont="1" applyFill="1" applyBorder="1" applyAlignment="1">
      <alignment horizontal="center" wrapText="1"/>
    </xf>
    <xf numFmtId="39" fontId="265" fillId="0" borderId="13" xfId="18" applyNumberFormat="1" applyFont="1" applyFill="1" applyBorder="1" applyAlignment="1">
      <alignment horizontal="right" wrapText="1"/>
    </xf>
    <xf numFmtId="40" fontId="265" fillId="0" borderId="1" xfId="18" applyNumberFormat="1" applyFont="1" applyFill="1" applyBorder="1"/>
    <xf numFmtId="43" fontId="265" fillId="0" borderId="13" xfId="17" applyFont="1" applyFill="1" applyBorder="1" applyAlignment="1">
      <alignment horizontal="center"/>
    </xf>
    <xf numFmtId="40" fontId="265" fillId="0" borderId="46" xfId="18" applyNumberFormat="1" applyFont="1" applyFill="1" applyBorder="1" applyAlignment="1">
      <alignment horizontal="center" wrapText="1"/>
    </xf>
    <xf numFmtId="37" fontId="265" fillId="0" borderId="13" xfId="18" applyFont="1" applyFill="1" applyBorder="1" applyAlignment="1">
      <alignment horizontal="left"/>
    </xf>
    <xf numFmtId="37" fontId="265" fillId="0" borderId="0" xfId="18" applyFont="1" applyFill="1"/>
    <xf numFmtId="43" fontId="265" fillId="0" borderId="0" xfId="17" applyFont="1" applyFill="1" applyAlignment="1"/>
    <xf numFmtId="37" fontId="265" fillId="0" borderId="15" xfId="18" applyFont="1" applyFill="1" applyBorder="1" applyAlignment="1">
      <alignment horizontal="center"/>
    </xf>
    <xf numFmtId="37" fontId="267" fillId="0" borderId="15" xfId="18" applyFont="1" applyFill="1" applyBorder="1" applyAlignment="1"/>
    <xf numFmtId="15" fontId="265" fillId="0" borderId="15" xfId="18" applyNumberFormat="1" applyFont="1" applyFill="1" applyBorder="1" applyAlignment="1">
      <alignment horizontal="center"/>
    </xf>
    <xf numFmtId="15" fontId="265" fillId="0" borderId="58" xfId="18" applyNumberFormat="1" applyFont="1" applyFill="1" applyBorder="1" applyAlignment="1">
      <alignment horizontal="center"/>
    </xf>
    <xf numFmtId="37" fontId="265" fillId="0" borderId="15" xfId="18" applyFont="1" applyFill="1" applyBorder="1" applyAlignment="1">
      <alignment horizontal="center" wrapText="1"/>
    </xf>
    <xf numFmtId="39" fontId="265" fillId="0" borderId="15" xfId="18" applyNumberFormat="1" applyFont="1" applyFill="1" applyBorder="1" applyAlignment="1">
      <alignment horizontal="right" wrapText="1"/>
    </xf>
    <xf numFmtId="43" fontId="265" fillId="0" borderId="15" xfId="17" applyFont="1" applyFill="1" applyBorder="1" applyAlignment="1">
      <alignment horizontal="center"/>
    </xf>
    <xf numFmtId="40" fontId="265" fillId="0" borderId="58" xfId="18" applyNumberFormat="1" applyFont="1" applyFill="1" applyBorder="1" applyAlignment="1">
      <alignment horizontal="center" wrapText="1"/>
    </xf>
    <xf numFmtId="0" fontId="265" fillId="0" borderId="15" xfId="0" applyFont="1" applyFill="1" applyBorder="1" applyAlignment="1">
      <alignment wrapText="1"/>
    </xf>
    <xf numFmtId="10" fontId="265" fillId="0" borderId="15" xfId="0" applyNumberFormat="1" applyFont="1" applyFill="1" applyBorder="1" applyAlignment="1">
      <alignment wrapText="1"/>
    </xf>
    <xf numFmtId="37" fontId="265" fillId="0" borderId="15" xfId="18" applyFont="1" applyFill="1" applyBorder="1" applyAlignment="1">
      <alignment horizontal="left"/>
    </xf>
    <xf numFmtId="37" fontId="265" fillId="0" borderId="2" xfId="18" applyFont="1" applyFill="1" applyBorder="1" applyAlignment="1">
      <alignment horizontal="center"/>
    </xf>
    <xf numFmtId="37" fontId="267" fillId="0" borderId="2" xfId="18" applyFont="1" applyFill="1" applyBorder="1" applyAlignment="1"/>
    <xf numFmtId="15" fontId="265" fillId="0" borderId="2" xfId="18" applyNumberFormat="1" applyFont="1" applyFill="1" applyBorder="1" applyAlignment="1">
      <alignment horizontal="center"/>
    </xf>
    <xf numFmtId="15" fontId="265" fillId="0" borderId="4" xfId="18" applyNumberFormat="1" applyFont="1" applyFill="1" applyBorder="1" applyAlignment="1">
      <alignment horizontal="center"/>
    </xf>
    <xf numFmtId="39" fontId="265" fillId="0" borderId="2" xfId="18" applyNumberFormat="1" applyFont="1" applyFill="1" applyBorder="1" applyAlignment="1">
      <alignment horizontal="right" wrapText="1"/>
    </xf>
    <xf numFmtId="43" fontId="265" fillId="0" borderId="2" xfId="17" applyFont="1" applyFill="1" applyBorder="1" applyAlignment="1">
      <alignment horizontal="center"/>
    </xf>
    <xf numFmtId="40" fontId="265" fillId="0" borderId="4" xfId="18" applyNumberFormat="1" applyFont="1" applyFill="1" applyBorder="1" applyAlignment="1">
      <alignment horizontal="center" wrapText="1"/>
    </xf>
    <xf numFmtId="0" fontId="265" fillId="0" borderId="2" xfId="0" applyFont="1" applyFill="1" applyBorder="1" applyAlignment="1">
      <alignment wrapText="1"/>
    </xf>
    <xf numFmtId="10" fontId="265" fillId="0" borderId="2" xfId="0" applyNumberFormat="1" applyFont="1" applyFill="1" applyBorder="1" applyAlignment="1">
      <alignment wrapText="1"/>
    </xf>
    <xf numFmtId="37" fontId="265" fillId="0" borderId="2" xfId="18" applyFont="1" applyFill="1" applyBorder="1" applyAlignment="1">
      <alignment horizontal="left"/>
    </xf>
    <xf numFmtId="37" fontId="265" fillId="5" borderId="15" xfId="18" applyFont="1" applyFill="1" applyBorder="1" applyAlignment="1">
      <alignment horizontal="left" wrapText="1"/>
    </xf>
    <xf numFmtId="37" fontId="265" fillId="5" borderId="15" xfId="18" applyFont="1" applyFill="1" applyBorder="1" applyAlignment="1">
      <alignment horizontal="left"/>
    </xf>
    <xf numFmtId="49" fontId="265" fillId="0" borderId="1" xfId="18" applyNumberFormat="1" applyFont="1" applyFill="1" applyBorder="1" applyAlignment="1">
      <alignment horizontal="center" wrapText="1"/>
    </xf>
    <xf numFmtId="37" fontId="267" fillId="0" borderId="1" xfId="18" applyFont="1" applyFill="1" applyBorder="1" applyAlignment="1">
      <alignment wrapText="1"/>
    </xf>
    <xf numFmtId="15" fontId="265" fillId="0" borderId="1" xfId="18" applyNumberFormat="1" applyFont="1" applyFill="1" applyBorder="1" applyAlignment="1">
      <alignment horizontal="center"/>
    </xf>
    <xf numFmtId="37" fontId="265" fillId="0" borderId="1" xfId="18" applyFont="1" applyFill="1" applyBorder="1" applyAlignment="1">
      <alignment horizontal="center" wrapText="1"/>
    </xf>
    <xf numFmtId="43" fontId="265" fillId="0" borderId="1" xfId="17" applyFont="1" applyFill="1" applyBorder="1" applyAlignment="1">
      <alignment horizontal="center" wrapText="1"/>
    </xf>
    <xf numFmtId="39" fontId="265" fillId="0" borderId="13" xfId="18" applyNumberFormat="1" applyFont="1" applyFill="1" applyBorder="1" applyAlignment="1">
      <alignment horizontal="right"/>
    </xf>
    <xf numFmtId="39" fontId="265" fillId="0" borderId="1" xfId="18" applyNumberFormat="1" applyFont="1" applyFill="1" applyBorder="1" applyAlignment="1">
      <alignment horizontal="left"/>
    </xf>
    <xf numFmtId="43" fontId="265" fillId="0" borderId="1" xfId="17" applyFont="1" applyFill="1" applyBorder="1" applyAlignment="1">
      <alignment horizontal="center"/>
    </xf>
    <xf numFmtId="40" fontId="265" fillId="0" borderId="1" xfId="18" applyNumberFormat="1" applyFont="1" applyFill="1" applyBorder="1" applyAlignment="1">
      <alignment horizontal="center" wrapText="1"/>
    </xf>
    <xf numFmtId="37" fontId="265" fillId="0" borderId="1" xfId="18" applyFont="1" applyFill="1" applyBorder="1" applyAlignment="1">
      <alignment horizontal="left" wrapText="1"/>
    </xf>
    <xf numFmtId="37" fontId="265" fillId="0" borderId="13" xfId="18" applyFont="1" applyFill="1" applyBorder="1" applyAlignment="1">
      <alignment horizontal="left" wrapText="1"/>
    </xf>
    <xf numFmtId="39" fontId="265" fillId="0" borderId="15" xfId="18" applyNumberFormat="1" applyFont="1" applyFill="1" applyBorder="1" applyAlignment="1">
      <alignment horizontal="right"/>
    </xf>
    <xf numFmtId="37" fontId="265" fillId="5" borderId="1" xfId="18" applyFont="1" applyFill="1" applyBorder="1" applyAlignment="1">
      <alignment horizontal="left" wrapText="1"/>
    </xf>
    <xf numFmtId="37" fontId="265" fillId="0" borderId="15" xfId="18" applyFont="1" applyFill="1" applyBorder="1" applyAlignment="1">
      <alignment horizontal="left" wrapText="1"/>
    </xf>
    <xf numFmtId="10" fontId="265" fillId="0" borderId="15" xfId="18" applyNumberFormat="1" applyFont="1" applyFill="1" applyBorder="1" applyAlignment="1">
      <alignment horizontal="left" wrapText="1"/>
    </xf>
    <xf numFmtId="39" fontId="265" fillId="0" borderId="2" xfId="18" applyNumberFormat="1" applyFont="1" applyFill="1" applyBorder="1" applyAlignment="1">
      <alignment horizontal="right"/>
    </xf>
    <xf numFmtId="37" fontId="265" fillId="0" borderId="2" xfId="18" applyFont="1" applyFill="1" applyBorder="1" applyAlignment="1">
      <alignment horizontal="left" wrapText="1"/>
    </xf>
    <xf numFmtId="10" fontId="265" fillId="0" borderId="2" xfId="18" applyNumberFormat="1" applyFont="1" applyFill="1" applyBorder="1" applyAlignment="1">
      <alignment horizontal="left" wrapText="1"/>
    </xf>
    <xf numFmtId="37" fontId="265" fillId="0" borderId="1" xfId="18" applyFont="1" applyFill="1" applyBorder="1" applyAlignment="1">
      <alignment horizontal="left"/>
    </xf>
    <xf numFmtId="37" fontId="265" fillId="0" borderId="1" xfId="18" applyFont="1" applyFill="1" applyBorder="1" applyAlignment="1">
      <alignment horizontal="left"/>
    </xf>
    <xf numFmtId="10" fontId="265" fillId="0" borderId="1" xfId="18" applyNumberFormat="1" applyFont="1" applyFill="1" applyBorder="1" applyAlignment="1">
      <alignment horizontal="left"/>
    </xf>
    <xf numFmtId="39" fontId="265" fillId="0" borderId="13" xfId="18" applyNumberFormat="1" applyFont="1" applyFill="1" applyBorder="1" applyAlignment="1"/>
    <xf numFmtId="39" fontId="265" fillId="0" borderId="15" xfId="18" applyNumberFormat="1" applyFont="1" applyFill="1" applyBorder="1" applyAlignment="1"/>
    <xf numFmtId="37" fontId="265" fillId="5" borderId="1" xfId="18" applyFont="1" applyFill="1" applyBorder="1" applyAlignment="1">
      <alignment horizontal="left"/>
    </xf>
    <xf numFmtId="10" fontId="265" fillId="5" borderId="1" xfId="18" applyNumberFormat="1" applyFont="1" applyFill="1" applyBorder="1" applyAlignment="1">
      <alignment horizontal="left"/>
    </xf>
    <xf numFmtId="39" fontId="265" fillId="0" borderId="2" xfId="18" applyNumberFormat="1" applyFont="1" applyFill="1" applyBorder="1" applyAlignment="1"/>
    <xf numFmtId="37" fontId="265" fillId="5" borderId="13" xfId="18" applyFont="1" applyFill="1" applyBorder="1" applyAlignment="1">
      <alignment horizontal="left"/>
    </xf>
    <xf numFmtId="10" fontId="265" fillId="5" borderId="15" xfId="18" applyNumberFormat="1" applyFont="1" applyFill="1" applyBorder="1" applyAlignment="1">
      <alignment horizontal="left"/>
    </xf>
    <xf numFmtId="37" fontId="267" fillId="0" borderId="13" xfId="18" applyFont="1" applyFill="1" applyBorder="1" applyAlignment="1">
      <alignment horizontal="left" wrapText="1"/>
    </xf>
    <xf numFmtId="37" fontId="265" fillId="0" borderId="13" xfId="18" applyFont="1" applyFill="1" applyBorder="1" applyAlignment="1">
      <alignment horizontal="left"/>
    </xf>
    <xf numFmtId="37" fontId="267" fillId="0" borderId="15" xfId="18" applyFont="1" applyFill="1" applyBorder="1" applyAlignment="1">
      <alignment horizontal="left" wrapText="1"/>
    </xf>
    <xf numFmtId="37" fontId="267" fillId="0" borderId="2" xfId="18" applyFont="1" applyFill="1" applyBorder="1" applyAlignment="1">
      <alignment horizontal="left" wrapText="1"/>
    </xf>
    <xf numFmtId="37" fontId="265" fillId="0" borderId="0" xfId="18" applyFont="1" applyFill="1" applyAlignment="1">
      <alignment horizontal="left"/>
    </xf>
    <xf numFmtId="10" fontId="265" fillId="0" borderId="0" xfId="18" applyNumberFormat="1" applyFont="1" applyFill="1" applyAlignment="1">
      <alignment horizontal="left"/>
    </xf>
    <xf numFmtId="37" fontId="267" fillId="0" borderId="1" xfId="18" applyFont="1" applyFill="1" applyBorder="1" applyAlignment="1">
      <alignment horizontal="left" wrapText="1"/>
    </xf>
    <xf numFmtId="39" fontId="265" fillId="0" borderId="13" xfId="18" applyNumberFormat="1" applyFont="1" applyFill="1" applyBorder="1" applyAlignment="1">
      <alignment horizontal="right"/>
    </xf>
    <xf numFmtId="39" fontId="265" fillId="0" borderId="15" xfId="18" applyNumberFormat="1" applyFont="1" applyFill="1" applyBorder="1" applyAlignment="1">
      <alignment horizontal="right"/>
    </xf>
    <xf numFmtId="39" fontId="265" fillId="0" borderId="2" xfId="18" applyNumberFormat="1" applyFont="1" applyFill="1" applyBorder="1" applyAlignment="1">
      <alignment horizontal="right"/>
    </xf>
    <xf numFmtId="37" fontId="265" fillId="0" borderId="15" xfId="18" applyFont="1" applyFill="1" applyBorder="1" applyAlignment="1">
      <alignment horizontal="left"/>
    </xf>
    <xf numFmtId="10" fontId="265" fillId="0" borderId="15" xfId="18" applyNumberFormat="1" applyFont="1" applyFill="1" applyBorder="1" applyAlignment="1">
      <alignment horizontal="left"/>
    </xf>
    <xf numFmtId="37" fontId="265" fillId="0" borderId="2" xfId="18" applyFont="1" applyFill="1" applyBorder="1" applyAlignment="1">
      <alignment horizontal="left"/>
    </xf>
    <xf numFmtId="10" fontId="265" fillId="0" borderId="2" xfId="18" applyNumberFormat="1" applyFont="1" applyFill="1" applyBorder="1" applyAlignment="1">
      <alignment horizontal="left"/>
    </xf>
    <xf numFmtId="49" fontId="265" fillId="0" borderId="1" xfId="18" applyNumberFormat="1" applyFont="1" applyFill="1" applyBorder="1" applyAlignment="1">
      <alignment horizontal="center"/>
    </xf>
    <xf numFmtId="37" fontId="267" fillId="0" borderId="1" xfId="18" applyFont="1" applyFill="1" applyBorder="1" applyAlignment="1"/>
    <xf numFmtId="37" fontId="265" fillId="0" borderId="1" xfId="18" applyFont="1" applyFill="1" applyBorder="1" applyAlignment="1">
      <alignment horizontal="center"/>
    </xf>
    <xf numFmtId="43" fontId="265" fillId="0" borderId="13" xfId="17" applyFont="1" applyFill="1" applyBorder="1" applyAlignment="1">
      <alignment horizontal="right"/>
    </xf>
    <xf numFmtId="43" fontId="265" fillId="0" borderId="15" xfId="17" applyFont="1" applyFill="1" applyBorder="1" applyAlignment="1">
      <alignment horizontal="right"/>
    </xf>
    <xf numFmtId="43" fontId="265" fillId="0" borderId="2" xfId="17" applyFont="1" applyFill="1" applyBorder="1" applyAlignment="1">
      <alignment horizontal="right"/>
    </xf>
    <xf numFmtId="40" fontId="265" fillId="0" borderId="1" xfId="18" applyNumberFormat="1" applyFont="1" applyFill="1" applyBorder="1" applyAlignment="1">
      <alignment horizontal="center"/>
    </xf>
    <xf numFmtId="40" fontId="265" fillId="0" borderId="1" xfId="18" applyNumberFormat="1" applyFont="1" applyFill="1" applyBorder="1" applyAlignment="1">
      <alignment horizontal="center"/>
    </xf>
    <xf numFmtId="37" fontId="267" fillId="0" borderId="1" xfId="18" applyFont="1" applyFill="1" applyBorder="1" applyAlignment="1">
      <alignment horizontal="center"/>
    </xf>
    <xf numFmtId="37" fontId="268" fillId="0" borderId="0" xfId="18" applyFont="1" applyFill="1"/>
    <xf numFmtId="43" fontId="268" fillId="0" borderId="0" xfId="17" applyFont="1" applyFill="1" applyAlignment="1"/>
    <xf numFmtId="37" fontId="268" fillId="0" borderId="1" xfId="18" applyFont="1" applyFill="1" applyBorder="1" applyAlignment="1">
      <alignment horizontal="center"/>
    </xf>
    <xf numFmtId="40" fontId="265" fillId="0" borderId="13" xfId="18" applyNumberFormat="1" applyFont="1" applyFill="1" applyBorder="1" applyAlignment="1">
      <alignment horizontal="center"/>
    </xf>
    <xf numFmtId="10" fontId="265" fillId="0" borderId="13" xfId="18" applyNumberFormat="1" applyFont="1" applyFill="1" applyBorder="1" applyAlignment="1">
      <alignment horizontal="left"/>
    </xf>
    <xf numFmtId="0" fontId="267" fillId="0" borderId="1" xfId="18" applyNumberFormat="1" applyFont="1" applyFill="1" applyBorder="1" applyAlignment="1">
      <alignment horizontal="center"/>
    </xf>
    <xf numFmtId="14" fontId="267" fillId="0" borderId="1" xfId="18" applyNumberFormat="1" applyFont="1" applyFill="1" applyBorder="1" applyAlignment="1">
      <alignment horizontal="center"/>
    </xf>
    <xf numFmtId="40" fontId="267" fillId="0" borderId="1" xfId="18" applyNumberFormat="1" applyFont="1" applyFill="1" applyBorder="1" applyAlignment="1">
      <alignment horizontal="center"/>
    </xf>
    <xf numFmtId="37" fontId="267" fillId="0" borderId="1" xfId="18" applyFont="1" applyFill="1" applyBorder="1"/>
    <xf numFmtId="0" fontId="267" fillId="0" borderId="13" xfId="18" applyNumberFormat="1" applyFont="1" applyFill="1" applyBorder="1" applyAlignment="1">
      <alignment horizontal="center"/>
    </xf>
    <xf numFmtId="14" fontId="267" fillId="0" borderId="13" xfId="18" applyNumberFormat="1" applyFont="1" applyFill="1" applyBorder="1" applyAlignment="1">
      <alignment horizontal="center"/>
    </xf>
    <xf numFmtId="40" fontId="265" fillId="0" borderId="13" xfId="18" applyNumberFormat="1" applyFont="1" applyFill="1" applyBorder="1" applyAlignment="1">
      <alignment horizontal="center"/>
    </xf>
    <xf numFmtId="37" fontId="267" fillId="0" borderId="0" xfId="18" applyFont="1" applyFill="1" applyBorder="1"/>
    <xf numFmtId="0" fontId="267" fillId="0" borderId="15" xfId="18" applyNumberFormat="1" applyFont="1" applyFill="1" applyBorder="1" applyAlignment="1">
      <alignment horizontal="center"/>
    </xf>
    <xf numFmtId="14" fontId="267" fillId="0" borderId="15" xfId="18" applyNumberFormat="1" applyFont="1" applyFill="1" applyBorder="1" applyAlignment="1">
      <alignment horizontal="center"/>
    </xf>
    <xf numFmtId="40" fontId="265" fillId="0" borderId="15" xfId="18" applyNumberFormat="1" applyFont="1" applyFill="1" applyBorder="1" applyAlignment="1">
      <alignment horizontal="center"/>
    </xf>
    <xf numFmtId="40" fontId="267" fillId="7" borderId="1" xfId="18" applyNumberFormat="1" applyFont="1" applyFill="1" applyBorder="1" applyAlignment="1">
      <alignment horizontal="center"/>
    </xf>
    <xf numFmtId="37" fontId="267" fillId="7" borderId="0" xfId="18" applyFont="1" applyFill="1" applyBorder="1"/>
    <xf numFmtId="0" fontId="267" fillId="0" borderId="2" xfId="18" applyNumberFormat="1" applyFont="1" applyFill="1" applyBorder="1" applyAlignment="1">
      <alignment horizontal="center"/>
    </xf>
    <xf numFmtId="14" fontId="267" fillId="0" borderId="2" xfId="18" applyNumberFormat="1" applyFont="1" applyFill="1" applyBorder="1" applyAlignment="1">
      <alignment horizontal="center"/>
    </xf>
    <xf numFmtId="40" fontId="265" fillId="0" borderId="2" xfId="18" applyNumberFormat="1" applyFont="1" applyFill="1" applyBorder="1" applyAlignment="1">
      <alignment horizontal="center"/>
    </xf>
    <xf numFmtId="0" fontId="267" fillId="0" borderId="0" xfId="18" applyNumberFormat="1" applyFont="1" applyBorder="1" applyAlignment="1">
      <alignment horizontal="center"/>
    </xf>
    <xf numFmtId="14" fontId="267" fillId="0" borderId="0" xfId="18" applyNumberFormat="1" applyFont="1" applyBorder="1" applyAlignment="1">
      <alignment horizontal="center"/>
    </xf>
    <xf numFmtId="43" fontId="267" fillId="7" borderId="2" xfId="17" applyFont="1" applyFill="1" applyBorder="1" applyAlignment="1">
      <alignment horizontal="right"/>
    </xf>
    <xf numFmtId="40" fontId="267" fillId="7" borderId="2" xfId="18" applyNumberFormat="1" applyFont="1" applyFill="1" applyBorder="1" applyAlignment="1">
      <alignment horizontal="center"/>
    </xf>
    <xf numFmtId="43" fontId="267" fillId="7" borderId="7" xfId="17" applyFont="1" applyFill="1" applyBorder="1" applyAlignment="1">
      <alignment horizontal="center"/>
    </xf>
    <xf numFmtId="40" fontId="267" fillId="7" borderId="0" xfId="18" applyNumberFormat="1" applyFont="1" applyFill="1" applyBorder="1" applyAlignment="1">
      <alignment horizontal="center"/>
    </xf>
    <xf numFmtId="37" fontId="265" fillId="0" borderId="0" xfId="18" applyFont="1" applyFill="1" applyBorder="1" applyAlignment="1">
      <alignment horizontal="left"/>
    </xf>
    <xf numFmtId="10" fontId="265" fillId="0" borderId="0" xfId="18" applyNumberFormat="1" applyFont="1" applyFill="1" applyBorder="1" applyAlignment="1">
      <alignment horizontal="left"/>
    </xf>
    <xf numFmtId="37" fontId="267" fillId="7" borderId="0" xfId="18" applyFont="1" applyFill="1" applyBorder="1" applyAlignment="1">
      <alignment horizontal="left"/>
    </xf>
    <xf numFmtId="14" fontId="268" fillId="0" borderId="0" xfId="18" applyNumberFormat="1" applyFont="1" applyAlignment="1">
      <alignment horizontal="center"/>
    </xf>
    <xf numFmtId="39" fontId="265" fillId="7" borderId="2" xfId="18" applyNumberFormat="1" applyFont="1" applyFill="1" applyBorder="1" applyAlignment="1">
      <alignment horizontal="right"/>
    </xf>
    <xf numFmtId="40" fontId="265" fillId="0" borderId="2" xfId="18" applyNumberFormat="1" applyFont="1" applyBorder="1"/>
    <xf numFmtId="198" fontId="265" fillId="0" borderId="7" xfId="18" applyNumberFormat="1" applyFont="1" applyFill="1" applyBorder="1" applyAlignment="1"/>
    <xf numFmtId="40" fontId="265" fillId="0" borderId="0" xfId="18" applyNumberFormat="1" applyFont="1" applyFill="1" applyAlignment="1">
      <alignment horizontal="center"/>
    </xf>
    <xf numFmtId="43" fontId="257" fillId="0" borderId="0" xfId="17" applyFont="1" applyAlignment="1">
      <alignment horizontal="center"/>
    </xf>
    <xf numFmtId="40" fontId="265" fillId="0" borderId="0" xfId="18" applyNumberFormat="1" applyFont="1" applyFill="1" applyBorder="1"/>
    <xf numFmtId="198" fontId="265" fillId="0" borderId="0" xfId="18" applyNumberFormat="1" applyFont="1" applyFill="1" applyBorder="1" applyAlignment="1"/>
    <xf numFmtId="43" fontId="265" fillId="0" borderId="0" xfId="17" applyFont="1" applyFill="1" applyAlignment="1">
      <alignment horizontal="left"/>
    </xf>
    <xf numFmtId="10" fontId="265" fillId="0" borderId="0" xfId="17" applyNumberFormat="1" applyFont="1" applyFill="1" applyAlignment="1">
      <alignment horizontal="left"/>
    </xf>
    <xf numFmtId="15" fontId="262" fillId="0" borderId="0" xfId="18" applyNumberFormat="1" applyFont="1" applyFill="1" applyAlignment="1">
      <alignment horizontal="center"/>
    </xf>
    <xf numFmtId="15" fontId="262" fillId="0" borderId="0" xfId="18" applyNumberFormat="1" applyFont="1" applyFill="1" applyBorder="1" applyAlignment="1">
      <alignment horizontal="center"/>
    </xf>
    <xf numFmtId="37" fontId="265" fillId="0" borderId="0" xfId="18" applyFont="1" applyBorder="1" applyAlignment="1">
      <alignment horizontal="center" wrapText="1"/>
    </xf>
    <xf numFmtId="15" fontId="262" fillId="7" borderId="1" xfId="18" applyNumberFormat="1" applyFont="1" applyFill="1" applyBorder="1" applyAlignment="1">
      <alignment horizontal="right"/>
    </xf>
    <xf numFmtId="198" fontId="265" fillId="0" borderId="82" xfId="18" applyNumberFormat="1" applyFont="1" applyFill="1" applyBorder="1" applyAlignment="1"/>
    <xf numFmtId="37" fontId="265" fillId="0" borderId="0" xfId="18" applyFont="1" applyFill="1" applyBorder="1" applyAlignment="1">
      <alignment horizontal="center"/>
    </xf>
    <xf numFmtId="40" fontId="265" fillId="7" borderId="0" xfId="18" applyNumberFormat="1" applyFont="1" applyFill="1" applyAlignment="1">
      <alignment horizontal="right"/>
    </xf>
    <xf numFmtId="40" fontId="265" fillId="0" borderId="0" xfId="18" applyNumberFormat="1" applyFont="1" applyFill="1"/>
    <xf numFmtId="37" fontId="265" fillId="0" borderId="0" xfId="18" applyFont="1" applyFill="1" applyAlignment="1"/>
    <xf numFmtId="43" fontId="265" fillId="0" borderId="0" xfId="17" applyFont="1" applyBorder="1" applyAlignment="1">
      <alignment horizontal="center" wrapText="1"/>
    </xf>
    <xf numFmtId="15" fontId="262" fillId="7" borderId="5" xfId="18" applyNumberFormat="1" applyFont="1" applyFill="1" applyBorder="1" applyAlignment="1">
      <alignment horizontal="right"/>
    </xf>
    <xf numFmtId="10" fontId="265" fillId="0" borderId="82" xfId="18" applyNumberFormat="1" applyFont="1" applyFill="1" applyBorder="1" applyAlignment="1"/>
    <xf numFmtId="40" fontId="265" fillId="7" borderId="82" xfId="18" applyNumberFormat="1" applyFont="1" applyFill="1" applyBorder="1" applyAlignment="1">
      <alignment horizontal="center"/>
    </xf>
    <xf numFmtId="37" fontId="268" fillId="0" borderId="0" xfId="18" applyFont="1"/>
    <xf numFmtId="37" fontId="268" fillId="0" borderId="0" xfId="18" applyFont="1" applyAlignment="1">
      <alignment horizontal="center"/>
    </xf>
    <xf numFmtId="37" fontId="268" fillId="0" borderId="0" xfId="18" applyFont="1" applyAlignment="1"/>
    <xf numFmtId="40" fontId="268" fillId="0" borderId="0" xfId="18" applyNumberFormat="1" applyFont="1" applyAlignment="1">
      <alignment horizontal="center"/>
    </xf>
    <xf numFmtId="10" fontId="268" fillId="0" borderId="0" xfId="18" applyNumberFormat="1" applyFont="1" applyAlignment="1">
      <alignment horizontal="center"/>
    </xf>
    <xf numFmtId="37" fontId="268" fillId="0" borderId="0" xfId="18" applyFont="1" applyAlignment="1">
      <alignment horizontal="left"/>
    </xf>
    <xf numFmtId="43" fontId="268" fillId="0" borderId="0" xfId="17" applyFont="1" applyAlignment="1"/>
    <xf numFmtId="37" fontId="268" fillId="7" borderId="0" xfId="18" applyFont="1" applyFill="1" applyAlignment="1"/>
    <xf numFmtId="37" fontId="268" fillId="7" borderId="0" xfId="18" applyFont="1" applyFill="1" applyAlignment="1">
      <alignment horizontal="right"/>
    </xf>
    <xf numFmtId="40" fontId="50" fillId="0" borderId="23" xfId="0" applyNumberFormat="1" applyFont="1" applyBorder="1" applyAlignment="1" applyProtection="1">
      <alignment vertical="center"/>
      <protection locked="0"/>
    </xf>
    <xf numFmtId="176" fontId="268" fillId="0" borderId="0" xfId="18" applyNumberFormat="1" applyFont="1" applyAlignment="1">
      <alignment horizontal="center"/>
    </xf>
    <xf numFmtId="37"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69" fillId="0" borderId="0" xfId="0" applyFont="1">
      <alignment vertical="center"/>
    </xf>
    <xf numFmtId="0" fontId="269" fillId="0" borderId="0" xfId="0" applyFont="1" applyProtection="1">
      <alignment vertical="center"/>
      <protection locked="0"/>
    </xf>
    <xf numFmtId="49" fontId="224" fillId="0" borderId="4" xfId="0" applyNumberFormat="1" applyFont="1" applyFill="1" applyBorder="1" applyAlignment="1" applyProtection="1">
      <alignment horizontal="lef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一般_EVElist" xfId="18"/>
  </cellStyles>
  <dxfs count="201">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6" sqref="F36"/>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北京市东城区香河园街1号11号楼房地产抵押价值预评估</v>
      </c>
    </row>
    <row r="3" spans="1:2" s="1594" customFormat="1">
      <c r="A3" s="1592" t="s">
        <v>1221</v>
      </c>
      <c r="B3" s="1593" t="str">
        <f>'预评函-封皮'!B40</f>
        <v>北京万国城酒店运营管理有限公司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康正预评字2018-1-0895-P01DYGJ1号</v>
      </c>
    </row>
    <row r="6" spans="1:2" s="1591" customFormat="1" ht="15" thickTop="1">
      <c r="A6" s="1589" t="s">
        <v>1224</v>
      </c>
      <c r="B6" s="1590" t="str">
        <f>'预评函-1'!A4</f>
        <v>受贵公司委托，我公司对北京市东城区香河园街1号11号楼房地产抵押价值进行了预评估。</v>
      </c>
    </row>
    <row r="7" spans="1:2" s="1594" customFormat="1">
      <c r="A7" s="1592" t="s">
        <v>1264</v>
      </c>
      <c r="B7" s="1593" t="str">
        <f>'预评函-1'!A7</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为估价委托人在向工商银行总行北京分行东城支行办理贷款手续过程中，确定房地产抵押贷款额度提供参考依据而评估房地产抵押价值。</v>
      </c>
    </row>
    <row r="12" spans="1:2" s="1594" customFormat="1">
      <c r="A12" s="1592" t="s">
        <v>1226</v>
      </c>
      <c r="B12" s="1593" t="str">
        <f>'预评函-1'!A15</f>
        <v>2018年12月24日（评估专业人员实地查勘之日）</v>
      </c>
    </row>
    <row r="13" spans="1:2" s="1594" customFormat="1">
      <c r="A13" s="1592" t="s">
        <v>1227</v>
      </c>
      <c r="B13" s="1593" t="str">
        <f>'预评函-1'!A18</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184902</v>
      </c>
    </row>
    <row r="21" spans="1:2" s="1594" customFormat="1">
      <c r="A21" s="1592" t="s">
        <v>1235</v>
      </c>
      <c r="B21" s="1593">
        <f ca="1">'预评函-2'!D7</f>
        <v>36892</v>
      </c>
    </row>
    <row r="22" spans="1:2" s="1594" customFormat="1">
      <c r="A22" s="1592" t="s">
        <v>1236</v>
      </c>
      <c r="B22" s="1593" t="str">
        <f ca="1">'预评函-2'!D6</f>
        <v>壹拾捌亿肆仟玖佰零贰万元整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184902</v>
      </c>
    </row>
    <row r="31" spans="1:2" s="1594" customFormat="1">
      <c r="A31" s="1592" t="s">
        <v>1274</v>
      </c>
      <c r="B31" s="1593">
        <f ca="1">'预评函-2'!D15</f>
        <v>36892</v>
      </c>
    </row>
    <row r="32" spans="1:2" s="1594" customFormat="1">
      <c r="A32" s="1592" t="s">
        <v>1241</v>
      </c>
      <c r="B32" s="1593" t="str">
        <f ca="1">'预评函-2'!D14</f>
        <v>壹拾捌亿肆仟玖佰零贰万元整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北京市东城区香河园街1号11号楼房地产</v>
      </c>
    </row>
    <row r="42" spans="1:2" s="1594" customFormat="1">
      <c r="A42" s="1592" t="s">
        <v>1288</v>
      </c>
      <c r="B42" s="1593" t="str">
        <f>'预评函-3'!B2</f>
        <v>建筑面积</v>
      </c>
    </row>
    <row r="43" spans="1:2" s="1594" customFormat="1">
      <c r="A43" s="1592" t="s">
        <v>1289</v>
      </c>
      <c r="B43" s="1593">
        <f>'预评函-3'!B4</f>
        <v>50120.32</v>
      </c>
    </row>
    <row r="44" spans="1:2" s="1594" customFormat="1">
      <c r="A44" s="1592" t="s">
        <v>1273</v>
      </c>
      <c r="B44" s="1593" t="str">
        <f>'预评函-3'!C2</f>
        <v>(分摊)土地面积</v>
      </c>
    </row>
    <row r="45" spans="1:2" s="1594" customFormat="1">
      <c r="A45" s="1592" t="s">
        <v>1245</v>
      </c>
      <c r="B45" s="1593">
        <f>'预评函-3'!C4</f>
        <v>5235.2</v>
      </c>
    </row>
    <row r="46" spans="1:2" s="1594" customFormat="1">
      <c r="A46" s="1592" t="s">
        <v>1271</v>
      </c>
      <c r="B46" s="1593" t="str">
        <f>'预评函-3'!D2</f>
        <v>出让国有建设用地使用权价值</v>
      </c>
    </row>
    <row r="47" spans="1:2" s="1594" customFormat="1">
      <c r="A47" s="1592" t="s">
        <v>1246</v>
      </c>
      <c r="B47" s="1593">
        <f ca="1">'预评函-3'!D4</f>
        <v>154763</v>
      </c>
    </row>
    <row r="48" spans="1:2" s="1594" customFormat="1">
      <c r="A48" s="1592" t="s">
        <v>1247</v>
      </c>
      <c r="B48" s="1593">
        <f ca="1">'预评函-3'!E4</f>
        <v>30879</v>
      </c>
    </row>
    <row r="49" spans="1:2" s="1594" customFormat="1">
      <c r="A49" s="1592" t="s">
        <v>1248</v>
      </c>
      <c r="B49" s="1593" t="str">
        <f ca="1">'预评函-3'!D5</f>
        <v>壹拾伍亿肆仟柒佰陆拾叁万元整</v>
      </c>
    </row>
    <row r="50" spans="1:2" s="1594" customFormat="1">
      <c r="A50" s="1592" t="s">
        <v>1272</v>
      </c>
      <c r="B50" s="1593" t="str">
        <f>'预评函-3'!F2</f>
        <v>在建建筑物价值</v>
      </c>
    </row>
    <row r="51" spans="1:2" s="1594" customFormat="1">
      <c r="A51" s="1592" t="s">
        <v>1249</v>
      </c>
      <c r="B51" s="1593">
        <f ca="1">'预评函-3'!F4</f>
        <v>30139</v>
      </c>
    </row>
    <row r="52" spans="1:2" s="1594" customFormat="1">
      <c r="A52" s="1592" t="s">
        <v>1250</v>
      </c>
      <c r="B52" s="1593">
        <f ca="1">'预评函-3'!G4</f>
        <v>6013</v>
      </c>
    </row>
    <row r="53" spans="1:2" s="1594" customFormat="1">
      <c r="A53" s="1592" t="s">
        <v>1278</v>
      </c>
      <c r="B53" s="1593" t="str">
        <f ca="1">'预评函-3'!F5</f>
        <v>叁亿零壹佰叁拾玖万元整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43460</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19:X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3077</v>
      </c>
      <c r="C17" s="2016"/>
    </row>
    <row r="18" spans="1:3">
      <c r="A18" s="2015" t="s">
        <v>1767</v>
      </c>
      <c r="B18" s="2015" t="s">
        <v>3301</v>
      </c>
      <c r="C18" s="2016"/>
    </row>
    <row r="19" spans="1:3">
      <c r="A19" s="2015" t="s">
        <v>1768</v>
      </c>
      <c r="B19" s="2015" t="s">
        <v>3079</v>
      </c>
      <c r="C19" s="2016"/>
    </row>
    <row r="20" spans="1:3">
      <c r="A20" s="2015" t="s">
        <v>1769</v>
      </c>
      <c r="B20" s="2015" t="s">
        <v>3303</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为估价委托人在向工商银行总行北京分行东城支行办理贷款手续过程中，确定房地产抵押贷款额度提供参考依据而评估房地产抵押价值。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国城酒店运营管理有限公司拟使用北京市东城区香河园街1号11号楼房地产作为抵押担保物，向工商银行总行北京分行东城支行办理贷款手续。工商银行总行北京分行东城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XX年(多用途剩余年限尾数不同时，可只体现小数点后一位)，假定未设立法定优先受偿款下的房地产市场价值。</v>
      </c>
    </row>
    <row r="54" spans="1:4">
      <c r="A54" s="3006"/>
      <c r="B54" s="2023" t="s">
        <v>864</v>
      </c>
      <c r="C54" s="2020" t="s">
        <v>1281</v>
      </c>
    </row>
    <row r="55" spans="1:4">
      <c r="A55" s="3006"/>
      <c r="B55" s="2023" t="s">
        <v>865</v>
      </c>
      <c r="C55" s="2020" t="s">
        <v>1282</v>
      </c>
    </row>
    <row r="56" spans="1:4">
      <c r="A56" s="3006"/>
      <c r="B56" s="2023" t="s">
        <v>866</v>
      </c>
      <c r="C56" s="2020" t="s">
        <v>1286</v>
      </c>
    </row>
    <row r="57" spans="1:4">
      <c r="A57" s="300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19"/>
  <sheetViews>
    <sheetView topLeftCell="A89" workbookViewId="0">
      <selection activeCell="G110" sqref="G110"/>
    </sheetView>
  </sheetViews>
  <sheetFormatPr defaultColWidth="10.875" defaultRowHeight="12"/>
  <cols>
    <col min="1" max="1" width="7.125" style="3557" customWidth="1"/>
    <col min="2" max="2" width="14.125" style="3564" customWidth="1"/>
    <col min="3" max="3" width="11.125" style="3534" customWidth="1"/>
    <col min="4" max="4" width="11.25" style="3534" customWidth="1"/>
    <col min="5" max="5" width="23.25" style="3534" hidden="1" customWidth="1"/>
    <col min="6" max="6" width="11.875" style="3558" hidden="1" customWidth="1"/>
    <col min="7" max="7" width="14.75" style="3565" customWidth="1"/>
    <col min="8" max="8" width="14" style="3558" hidden="1" customWidth="1"/>
    <col min="9" max="9" width="2.75" style="3558" hidden="1" customWidth="1"/>
    <col min="10" max="10" width="11.875" style="3559" customWidth="1"/>
    <col min="11" max="11" width="18.125" style="3560" customWidth="1"/>
    <col min="12" max="12" width="48.5" style="3558" customWidth="1"/>
    <col min="13" max="13" width="12.25" style="3558" hidden="1" customWidth="1"/>
    <col min="14" max="14" width="15.25" style="3558" hidden="1" customWidth="1"/>
    <col min="15" max="15" width="19.75" style="3561" customWidth="1"/>
    <col min="16" max="16" width="31.25" style="3562" customWidth="1"/>
    <col min="17" max="17" width="12.125" style="3557" customWidth="1"/>
    <col min="18" max="18" width="9.5" style="3563" customWidth="1"/>
    <col min="19" max="254" width="7" style="3557" customWidth="1"/>
    <col min="255" max="255" width="14.625" style="3557" customWidth="1"/>
    <col min="256" max="256" width="27.25" style="3557" customWidth="1"/>
    <col min="257" max="257" width="0.625" style="3557" customWidth="1"/>
    <col min="258" max="258" width="12.75" style="3557" customWidth="1"/>
    <col min="259" max="16384" width="10.875" style="3557"/>
  </cols>
  <sheetData>
    <row r="1" spans="1:18" s="3301" customFormat="1" ht="21.75" customHeight="1">
      <c r="A1" s="3292" t="s">
        <v>3092</v>
      </c>
      <c r="B1" s="3293"/>
      <c r="C1" s="3292"/>
      <c r="D1" s="3294"/>
      <c r="E1" s="3294"/>
      <c r="F1" s="3295"/>
      <c r="G1" s="3296"/>
      <c r="H1" s="3295"/>
      <c r="I1" s="3295"/>
      <c r="J1" s="3297"/>
      <c r="K1" s="3298"/>
      <c r="L1" s="3295"/>
      <c r="M1" s="3295"/>
      <c r="N1" s="3295"/>
      <c r="O1" s="3299"/>
      <c r="P1" s="3300"/>
      <c r="R1" s="3302"/>
    </row>
    <row r="2" spans="1:18" s="3301" customFormat="1" ht="21.75" customHeight="1">
      <c r="A2" s="3292" t="s">
        <v>3093</v>
      </c>
      <c r="B2" s="3293"/>
      <c r="C2" s="3292"/>
      <c r="D2" s="3294"/>
      <c r="E2" s="3303"/>
      <c r="F2" s="3304"/>
      <c r="G2" s="3305"/>
      <c r="H2" s="3304"/>
      <c r="I2" s="3304"/>
      <c r="J2" s="3306"/>
      <c r="K2" s="3307"/>
      <c r="L2" s="3304"/>
      <c r="M2" s="3304"/>
      <c r="N2" s="3304"/>
      <c r="O2" s="3308"/>
      <c r="P2" s="3300"/>
      <c r="R2" s="3302"/>
    </row>
    <row r="3" spans="1:18" s="3309" customFormat="1" ht="12.95" customHeight="1">
      <c r="B3" s="3310"/>
      <c r="C3" s="3311"/>
      <c r="D3" s="3311"/>
      <c r="E3" s="3312"/>
      <c r="F3" s="3313"/>
      <c r="G3" s="3314"/>
      <c r="H3" s="3315"/>
      <c r="I3" s="3315"/>
      <c r="J3" s="3316"/>
      <c r="K3" s="3317"/>
      <c r="L3" s="3318"/>
      <c r="M3" s="3318"/>
      <c r="N3" s="3318"/>
      <c r="O3" s="3319"/>
      <c r="P3" s="3320"/>
      <c r="R3" s="3321"/>
    </row>
    <row r="4" spans="1:18" s="3309" customFormat="1" ht="12.95" customHeight="1">
      <c r="B4" s="3310"/>
      <c r="C4" s="3311"/>
      <c r="D4" s="3311"/>
      <c r="E4" s="3311"/>
      <c r="F4" s="3322"/>
      <c r="G4" s="3323"/>
      <c r="H4" s="3322"/>
      <c r="I4" s="3322"/>
      <c r="J4" s="3324"/>
      <c r="K4" s="3325"/>
      <c r="L4" s="3326"/>
      <c r="M4" s="3326"/>
      <c r="N4" s="3326"/>
      <c r="O4" s="3327"/>
      <c r="P4" s="3328"/>
      <c r="R4" s="3321"/>
    </row>
    <row r="5" spans="1:18" s="3339" customFormat="1" ht="18" customHeight="1">
      <c r="A5" s="3329"/>
      <c r="B5" s="3330"/>
      <c r="C5" s="3331" t="s">
        <v>3094</v>
      </c>
      <c r="D5" s="3332"/>
      <c r="E5" s="3333" t="s">
        <v>3095</v>
      </c>
      <c r="F5" s="3329" t="s">
        <v>3096</v>
      </c>
      <c r="G5" s="3334" t="s">
        <v>3097</v>
      </c>
      <c r="H5" s="3329" t="s">
        <v>3098</v>
      </c>
      <c r="I5" s="3329" t="s">
        <v>3099</v>
      </c>
      <c r="J5" s="3335" t="s">
        <v>3100</v>
      </c>
      <c r="K5" s="3336" t="s">
        <v>3101</v>
      </c>
      <c r="L5" s="3329"/>
      <c r="M5" s="3329"/>
      <c r="N5" s="3329"/>
      <c r="O5" s="3337"/>
      <c r="P5" s="3338" t="s">
        <v>3102</v>
      </c>
      <c r="R5" s="3340"/>
    </row>
    <row r="6" spans="1:18" s="3339" customFormat="1" ht="18" customHeight="1">
      <c r="A6" s="3341" t="s">
        <v>3103</v>
      </c>
      <c r="B6" s="3342" t="s">
        <v>3104</v>
      </c>
      <c r="C6" s="3343" t="s">
        <v>3105</v>
      </c>
      <c r="D6" s="3343" t="s">
        <v>3106</v>
      </c>
      <c r="E6" s="3344"/>
      <c r="F6" s="3341" t="s">
        <v>3107</v>
      </c>
      <c r="G6" s="3345" t="s">
        <v>3108</v>
      </c>
      <c r="H6" s="3341" t="s">
        <v>3109</v>
      </c>
      <c r="I6" s="3341" t="s">
        <v>3110</v>
      </c>
      <c r="J6" s="3346" t="s">
        <v>3111</v>
      </c>
      <c r="K6" s="3347" t="s">
        <v>3112</v>
      </c>
      <c r="L6" s="3341" t="s">
        <v>3113</v>
      </c>
      <c r="M6" s="3341"/>
      <c r="N6" s="3341"/>
      <c r="O6" s="3348"/>
      <c r="P6" s="3349"/>
      <c r="R6" s="3340"/>
    </row>
    <row r="7" spans="1:18" s="3350" customFormat="1" ht="18" customHeight="1">
      <c r="B7" s="3351"/>
      <c r="C7" s="3352"/>
      <c r="D7" s="3352"/>
      <c r="E7" s="3352"/>
      <c r="F7" s="3353"/>
      <c r="G7" s="3354"/>
      <c r="H7" s="3353"/>
      <c r="I7" s="3353"/>
      <c r="J7" s="3355"/>
      <c r="K7" s="3356"/>
      <c r="L7" s="3357"/>
      <c r="M7" s="3357"/>
      <c r="N7" s="3357"/>
      <c r="O7" s="3358"/>
      <c r="P7" s="3359"/>
      <c r="R7" s="3360"/>
    </row>
    <row r="8" spans="1:18" s="3350" customFormat="1" ht="18" customHeight="1">
      <c r="B8" s="3351"/>
      <c r="C8" s="3352"/>
      <c r="D8" s="3352"/>
      <c r="E8" s="3352"/>
      <c r="F8" s="3353"/>
      <c r="G8" s="3354"/>
      <c r="H8" s="3353"/>
      <c r="I8" s="3353"/>
      <c r="J8" s="3355"/>
      <c r="K8" s="3356"/>
      <c r="L8" s="3357"/>
      <c r="M8" s="3357"/>
      <c r="N8" s="3357"/>
      <c r="O8" s="3358"/>
      <c r="P8" s="3357"/>
      <c r="R8" s="3360"/>
    </row>
    <row r="9" spans="1:18" s="3377" customFormat="1" ht="20.100000000000001" customHeight="1">
      <c r="A9" s="3366" t="s">
        <v>3114</v>
      </c>
      <c r="B9" s="3367" t="s">
        <v>3115</v>
      </c>
      <c r="C9" s="3368">
        <v>42465</v>
      </c>
      <c r="D9" s="3368">
        <v>44290</v>
      </c>
      <c r="E9" s="3369" t="s">
        <v>3116</v>
      </c>
      <c r="F9" s="3370" t="s">
        <v>3117</v>
      </c>
      <c r="G9" s="3371">
        <v>55440</v>
      </c>
      <c r="H9" s="3372"/>
      <c r="I9" s="3372"/>
      <c r="J9" s="3373">
        <v>252</v>
      </c>
      <c r="K9" s="3374">
        <f>G9/J9</f>
        <v>220</v>
      </c>
      <c r="L9" s="3363" t="s">
        <v>3118</v>
      </c>
      <c r="M9" s="3363">
        <v>55440</v>
      </c>
      <c r="N9" s="3375">
        <f>J9</f>
        <v>252</v>
      </c>
      <c r="O9" s="3364">
        <f>ROUND((61236-M9)/M9/3,2)</f>
        <v>0.03</v>
      </c>
      <c r="P9" s="3376">
        <f>O9*J9</f>
        <v>7.56</v>
      </c>
      <c r="R9" s="3378"/>
    </row>
    <row r="10" spans="1:18" s="3377" customFormat="1" ht="20.100000000000001" customHeight="1">
      <c r="A10" s="3379"/>
      <c r="B10" s="3380"/>
      <c r="C10" s="3381"/>
      <c r="D10" s="3381"/>
      <c r="E10" s="3382"/>
      <c r="F10" s="3383" t="s">
        <v>3119</v>
      </c>
      <c r="G10" s="3384"/>
      <c r="H10" s="3372"/>
      <c r="I10" s="3372"/>
      <c r="J10" s="3385"/>
      <c r="K10" s="3386"/>
      <c r="L10" s="3387" t="s">
        <v>3120</v>
      </c>
      <c r="M10" s="3387"/>
      <c r="N10" s="3387"/>
      <c r="O10" s="3388"/>
      <c r="P10" s="3389"/>
      <c r="R10" s="3378"/>
    </row>
    <row r="11" spans="1:18" s="3377" customFormat="1" ht="20.100000000000001" customHeight="1">
      <c r="A11" s="3379"/>
      <c r="B11" s="3380"/>
      <c r="C11" s="3381"/>
      <c r="D11" s="3381"/>
      <c r="E11" s="3382"/>
      <c r="F11" s="3383" t="s">
        <v>3121</v>
      </c>
      <c r="G11" s="3384"/>
      <c r="H11" s="3372"/>
      <c r="I11" s="3372"/>
      <c r="J11" s="3385"/>
      <c r="K11" s="3386"/>
      <c r="L11" s="3387" t="s">
        <v>3122</v>
      </c>
      <c r="M11" s="3387"/>
      <c r="N11" s="3387"/>
      <c r="O11" s="3388"/>
      <c r="P11" s="3389"/>
      <c r="R11" s="3378"/>
    </row>
    <row r="12" spans="1:18" s="3377" customFormat="1" ht="20.100000000000001" customHeight="1">
      <c r="A12" s="3379"/>
      <c r="B12" s="3380"/>
      <c r="C12" s="3381"/>
      <c r="D12" s="3381"/>
      <c r="E12" s="3382"/>
      <c r="F12" s="3383" t="s">
        <v>3123</v>
      </c>
      <c r="G12" s="3384"/>
      <c r="H12" s="3372"/>
      <c r="I12" s="3372"/>
      <c r="J12" s="3385"/>
      <c r="K12" s="3386"/>
      <c r="L12" s="3387"/>
      <c r="M12" s="3387"/>
      <c r="N12" s="3387"/>
      <c r="O12" s="3388"/>
      <c r="P12" s="3389"/>
      <c r="R12" s="3378"/>
    </row>
    <row r="13" spans="1:18" s="3377" customFormat="1" ht="20.100000000000001" customHeight="1">
      <c r="A13" s="3390"/>
      <c r="B13" s="3391"/>
      <c r="C13" s="3392"/>
      <c r="D13" s="3392"/>
      <c r="E13" s="3393"/>
      <c r="F13" s="3394" t="s">
        <v>3124</v>
      </c>
      <c r="G13" s="3395"/>
      <c r="H13" s="3372"/>
      <c r="I13" s="3372"/>
      <c r="J13" s="3396"/>
      <c r="K13" s="3397"/>
      <c r="L13" s="3387"/>
      <c r="M13" s="3387"/>
      <c r="N13" s="3387"/>
      <c r="O13" s="3388"/>
      <c r="P13" s="3398"/>
      <c r="R13" s="3378"/>
    </row>
    <row r="14" spans="1:18" s="3377" customFormat="1" ht="20.100000000000001" customHeight="1">
      <c r="A14" s="3399" t="s">
        <v>3125</v>
      </c>
      <c r="B14" s="3400" t="s">
        <v>3126</v>
      </c>
      <c r="C14" s="3368">
        <v>42465</v>
      </c>
      <c r="D14" s="3368">
        <v>44290</v>
      </c>
      <c r="E14" s="3369" t="s">
        <v>3116</v>
      </c>
      <c r="F14" s="3370" t="s">
        <v>3127</v>
      </c>
      <c r="G14" s="3401">
        <v>55061.599999999999</v>
      </c>
      <c r="H14" s="3402"/>
      <c r="I14" s="3402"/>
      <c r="J14" s="3373">
        <v>250.28</v>
      </c>
      <c r="K14" s="3374">
        <f>G14/J14</f>
        <v>220</v>
      </c>
      <c r="L14" s="3403" t="s">
        <v>3128</v>
      </c>
      <c r="M14" s="3404">
        <v>55061.599999999999</v>
      </c>
      <c r="N14" s="3375">
        <f>J14</f>
        <v>250.28</v>
      </c>
      <c r="O14" s="3405">
        <f>ROUND((60818.04-55061.6)/G14/3,2)</f>
        <v>0.03</v>
      </c>
      <c r="P14" s="3376">
        <f>O14*J14</f>
        <v>7.5084</v>
      </c>
      <c r="R14" s="3378"/>
    </row>
    <row r="15" spans="1:18" s="3377" customFormat="1" ht="20.100000000000001" customHeight="1">
      <c r="A15" s="3406"/>
      <c r="B15" s="3407"/>
      <c r="C15" s="3381"/>
      <c r="D15" s="3381"/>
      <c r="E15" s="3382"/>
      <c r="F15" s="3383" t="s">
        <v>3130</v>
      </c>
      <c r="G15" s="3408"/>
      <c r="H15" s="3402"/>
      <c r="I15" s="3402"/>
      <c r="J15" s="3385"/>
      <c r="K15" s="3386"/>
      <c r="L15" s="3409" t="s">
        <v>3131</v>
      </c>
      <c r="M15" s="3410"/>
      <c r="N15" s="3410"/>
      <c r="O15" s="3411"/>
      <c r="P15" s="3389"/>
      <c r="R15" s="3378"/>
    </row>
    <row r="16" spans="1:18" s="3377" customFormat="1" ht="20.100000000000001" customHeight="1">
      <c r="A16" s="3406"/>
      <c r="B16" s="3407"/>
      <c r="C16" s="3381"/>
      <c r="D16" s="3381"/>
      <c r="E16" s="3382"/>
      <c r="F16" s="3383" t="s">
        <v>3132</v>
      </c>
      <c r="G16" s="3408"/>
      <c r="H16" s="3402"/>
      <c r="I16" s="3402"/>
      <c r="J16" s="3385"/>
      <c r="K16" s="3386"/>
      <c r="L16" s="3409" t="s">
        <v>3133</v>
      </c>
      <c r="M16" s="3410"/>
      <c r="N16" s="3410"/>
      <c r="O16" s="3411"/>
      <c r="P16" s="3389"/>
      <c r="R16" s="3378"/>
    </row>
    <row r="17" spans="1:18" s="3377" customFormat="1" ht="20.100000000000001" customHeight="1">
      <c r="A17" s="3406"/>
      <c r="B17" s="3407"/>
      <c r="C17" s="3381"/>
      <c r="D17" s="3381"/>
      <c r="E17" s="3382"/>
      <c r="F17" s="3383" t="s">
        <v>3134</v>
      </c>
      <c r="G17" s="3408"/>
      <c r="H17" s="3402"/>
      <c r="I17" s="3402"/>
      <c r="J17" s="3385"/>
      <c r="K17" s="3386"/>
      <c r="L17" s="3409"/>
      <c r="M17" s="3410"/>
      <c r="N17" s="3410"/>
      <c r="O17" s="3411"/>
      <c r="P17" s="3389"/>
      <c r="R17" s="3378"/>
    </row>
    <row r="18" spans="1:18" s="3377" customFormat="1" ht="20.100000000000001" customHeight="1">
      <c r="A18" s="3412"/>
      <c r="B18" s="3413"/>
      <c r="C18" s="3392"/>
      <c r="D18" s="3392"/>
      <c r="E18" s="3393"/>
      <c r="F18" s="3383" t="s">
        <v>3135</v>
      </c>
      <c r="G18" s="3414"/>
      <c r="H18" s="3402"/>
      <c r="I18" s="3402"/>
      <c r="J18" s="3396"/>
      <c r="K18" s="3397"/>
      <c r="L18" s="3415"/>
      <c r="M18" s="3416"/>
      <c r="N18" s="3416"/>
      <c r="O18" s="3417"/>
      <c r="P18" s="3398"/>
      <c r="R18" s="3378"/>
    </row>
    <row r="19" spans="1:18" s="3428" customFormat="1" ht="20.100000000000001" customHeight="1">
      <c r="A19" s="3418" t="s">
        <v>3136</v>
      </c>
      <c r="B19" s="3419" t="s">
        <v>3137</v>
      </c>
      <c r="C19" s="3420">
        <v>42485</v>
      </c>
      <c r="D19" s="3420">
        <v>44310</v>
      </c>
      <c r="E19" s="3421" t="s">
        <v>3138</v>
      </c>
      <c r="F19" s="3422" t="s">
        <v>3139</v>
      </c>
      <c r="G19" s="3423">
        <v>220189.2</v>
      </c>
      <c r="H19" s="3424"/>
      <c r="I19" s="3424"/>
      <c r="J19" s="3425">
        <v>1000.86</v>
      </c>
      <c r="K19" s="3426">
        <f>G19/J19</f>
        <v>220</v>
      </c>
      <c r="L19" s="3403" t="s">
        <v>3140</v>
      </c>
      <c r="M19" s="3403">
        <v>220189.2</v>
      </c>
      <c r="N19" s="3375">
        <f>J19</f>
        <v>1000.86</v>
      </c>
      <c r="O19" s="3364">
        <f>ROUND((243208.98-G19)/G19/3,2)</f>
        <v>0.03</v>
      </c>
      <c r="P19" s="3427">
        <f>O19*J19</f>
        <v>30.0258</v>
      </c>
      <c r="R19" s="3429"/>
    </row>
    <row r="20" spans="1:18" s="3428" customFormat="1" ht="20.100000000000001" customHeight="1">
      <c r="A20" s="3430"/>
      <c r="B20" s="3431"/>
      <c r="C20" s="3432"/>
      <c r="D20" s="3432"/>
      <c r="E20" s="3433"/>
      <c r="F20" s="3434" t="s">
        <v>3141</v>
      </c>
      <c r="G20" s="3435"/>
      <c r="H20" s="3424"/>
      <c r="I20" s="3424"/>
      <c r="J20" s="3436"/>
      <c r="K20" s="3437"/>
      <c r="L20" s="3438" t="s">
        <v>3142</v>
      </c>
      <c r="M20" s="3438"/>
      <c r="N20" s="3438"/>
      <c r="O20" s="3439"/>
      <c r="P20" s="3440"/>
      <c r="R20" s="3429"/>
    </row>
    <row r="21" spans="1:18" s="3428" customFormat="1" ht="20.100000000000001" customHeight="1">
      <c r="A21" s="3430"/>
      <c r="B21" s="3431"/>
      <c r="C21" s="3432"/>
      <c r="D21" s="3432"/>
      <c r="E21" s="3433"/>
      <c r="F21" s="3434" t="s">
        <v>3143</v>
      </c>
      <c r="G21" s="3435"/>
      <c r="H21" s="3424"/>
      <c r="I21" s="3424"/>
      <c r="J21" s="3436"/>
      <c r="K21" s="3437"/>
      <c r="L21" s="3438" t="s">
        <v>3144</v>
      </c>
      <c r="M21" s="3438"/>
      <c r="N21" s="3438"/>
      <c r="O21" s="3439"/>
      <c r="P21" s="3440"/>
      <c r="R21" s="3429"/>
    </row>
    <row r="22" spans="1:18" s="3428" customFormat="1" ht="20.100000000000001" customHeight="1">
      <c r="A22" s="3430"/>
      <c r="B22" s="3431"/>
      <c r="C22" s="3432"/>
      <c r="D22" s="3432"/>
      <c r="E22" s="3433"/>
      <c r="F22" s="3434" t="s">
        <v>3145</v>
      </c>
      <c r="G22" s="3435"/>
      <c r="H22" s="3424"/>
      <c r="I22" s="3424"/>
      <c r="J22" s="3436"/>
      <c r="K22" s="3437"/>
      <c r="L22" s="3438"/>
      <c r="M22" s="3438"/>
      <c r="N22" s="3438"/>
      <c r="O22" s="3439"/>
      <c r="P22" s="3440"/>
      <c r="R22" s="3429"/>
    </row>
    <row r="23" spans="1:18" s="3428" customFormat="1" ht="20.100000000000001" customHeight="1">
      <c r="A23" s="3441"/>
      <c r="B23" s="3442"/>
      <c r="C23" s="3443"/>
      <c r="D23" s="3443"/>
      <c r="E23" s="3444"/>
      <c r="F23" s="3434" t="s">
        <v>3146</v>
      </c>
      <c r="G23" s="3445"/>
      <c r="H23" s="3424"/>
      <c r="I23" s="3424"/>
      <c r="J23" s="3446"/>
      <c r="K23" s="3447"/>
      <c r="L23" s="3448"/>
      <c r="M23" s="3448"/>
      <c r="N23" s="3448"/>
      <c r="O23" s="3449"/>
      <c r="P23" s="3450"/>
      <c r="R23" s="3429"/>
    </row>
    <row r="24" spans="1:18" s="3428" customFormat="1" ht="20.100000000000001" customHeight="1">
      <c r="A24" s="3453" t="s">
        <v>3147</v>
      </c>
      <c r="B24" s="3454" t="s">
        <v>3148</v>
      </c>
      <c r="C24" s="3455">
        <v>42573</v>
      </c>
      <c r="D24" s="3455">
        <v>44398</v>
      </c>
      <c r="E24" s="3456" t="s">
        <v>3129</v>
      </c>
      <c r="F24" s="3457" t="s">
        <v>3129</v>
      </c>
      <c r="G24" s="3458">
        <v>220189.2</v>
      </c>
      <c r="H24" s="3459"/>
      <c r="I24" s="3424"/>
      <c r="J24" s="3460">
        <v>1000.86</v>
      </c>
      <c r="K24" s="3461">
        <f>G24/J24</f>
        <v>220</v>
      </c>
      <c r="L24" s="3462" t="s">
        <v>3149</v>
      </c>
      <c r="M24" s="3463"/>
      <c r="N24" s="3375">
        <f>J24</f>
        <v>1000.86</v>
      </c>
      <c r="O24" s="3364">
        <f>ROUND((243208.98-G24)/G24/3,2)</f>
        <v>0.03</v>
      </c>
      <c r="P24" s="3418">
        <f>O24*J24</f>
        <v>30.0258</v>
      </c>
      <c r="R24" s="3429"/>
    </row>
    <row r="25" spans="1:18" s="3428" customFormat="1" ht="20.100000000000001" customHeight="1">
      <c r="A25" s="3453"/>
      <c r="B25" s="3454"/>
      <c r="C25" s="3455"/>
      <c r="D25" s="3455"/>
      <c r="E25" s="3456"/>
      <c r="F25" s="3457"/>
      <c r="G25" s="3464"/>
      <c r="H25" s="3459"/>
      <c r="I25" s="3424"/>
      <c r="J25" s="3460"/>
      <c r="K25" s="3461"/>
      <c r="L25" s="3465" t="s">
        <v>3150</v>
      </c>
      <c r="M25" s="3451">
        <v>220189.2</v>
      </c>
      <c r="N25" s="3375">
        <f>J25</f>
        <v>0</v>
      </c>
      <c r="O25" s="3364"/>
      <c r="P25" s="3430"/>
      <c r="R25" s="3429"/>
    </row>
    <row r="26" spans="1:18" s="3428" customFormat="1" ht="20.100000000000001" customHeight="1">
      <c r="A26" s="3453"/>
      <c r="B26" s="3454"/>
      <c r="C26" s="3455"/>
      <c r="D26" s="3455"/>
      <c r="E26" s="3456"/>
      <c r="F26" s="3457"/>
      <c r="G26" s="3464"/>
      <c r="H26" s="3459"/>
      <c r="I26" s="3424"/>
      <c r="J26" s="3460"/>
      <c r="K26" s="3461"/>
      <c r="L26" s="3462" t="s">
        <v>3151</v>
      </c>
      <c r="M26" s="3466"/>
      <c r="N26" s="3466"/>
      <c r="O26" s="3467"/>
      <c r="P26" s="3430"/>
      <c r="R26" s="3429"/>
    </row>
    <row r="27" spans="1:18" s="3428" customFormat="1" ht="20.100000000000001" customHeight="1">
      <c r="A27" s="3453"/>
      <c r="B27" s="3454"/>
      <c r="C27" s="3455"/>
      <c r="D27" s="3455"/>
      <c r="E27" s="3456"/>
      <c r="F27" s="3457"/>
      <c r="G27" s="3468"/>
      <c r="H27" s="3459"/>
      <c r="I27" s="3424"/>
      <c r="J27" s="3460"/>
      <c r="K27" s="3461"/>
      <c r="L27" s="3462" t="s">
        <v>3152</v>
      </c>
      <c r="M27" s="3469"/>
      <c r="N27" s="3469"/>
      <c r="O27" s="3470"/>
      <c r="P27" s="3441"/>
      <c r="R27" s="3429"/>
    </row>
    <row r="28" spans="1:18" s="3428" customFormat="1" ht="20.100000000000001" customHeight="1">
      <c r="A28" s="3453" t="s">
        <v>3153</v>
      </c>
      <c r="B28" s="3454" t="s">
        <v>3154</v>
      </c>
      <c r="C28" s="3455">
        <v>42601</v>
      </c>
      <c r="D28" s="3455">
        <v>44426</v>
      </c>
      <c r="E28" s="3456" t="s">
        <v>3155</v>
      </c>
      <c r="F28" s="3457" t="s">
        <v>3129</v>
      </c>
      <c r="G28" s="3458">
        <v>486297.59999999998</v>
      </c>
      <c r="H28" s="3459"/>
      <c r="I28" s="3424"/>
      <c r="J28" s="3460">
        <v>2026.24</v>
      </c>
      <c r="K28" s="3461">
        <f>G28/J28</f>
        <v>240</v>
      </c>
      <c r="L28" s="3462" t="s">
        <v>3156</v>
      </c>
      <c r="M28" s="3463"/>
      <c r="N28" s="3375">
        <f>J28</f>
        <v>2026.24</v>
      </c>
      <c r="O28" s="3364"/>
      <c r="P28" s="3427">
        <f>O29*J28</f>
        <v>60.787199999999999</v>
      </c>
      <c r="R28" s="3429"/>
    </row>
    <row r="29" spans="1:18" s="3428" customFormat="1" ht="20.100000000000001" customHeight="1">
      <c r="A29" s="3453"/>
      <c r="B29" s="3454"/>
      <c r="C29" s="3455"/>
      <c r="D29" s="3455"/>
      <c r="E29" s="3456"/>
      <c r="F29" s="3457"/>
      <c r="G29" s="3464"/>
      <c r="H29" s="3459"/>
      <c r="I29" s="3424"/>
      <c r="J29" s="3460"/>
      <c r="K29" s="3461"/>
      <c r="L29" s="3465" t="s">
        <v>3157</v>
      </c>
      <c r="M29" s="3451">
        <v>486297.59999999998</v>
      </c>
      <c r="N29" s="3375">
        <f>J29</f>
        <v>0</v>
      </c>
      <c r="O29" s="3364">
        <f>ROUND((536143.1-G28)/G28/3,2)</f>
        <v>0.03</v>
      </c>
      <c r="P29" s="3440"/>
      <c r="R29" s="3429"/>
    </row>
    <row r="30" spans="1:18" s="3428" customFormat="1" ht="20.100000000000001" customHeight="1">
      <c r="A30" s="3453"/>
      <c r="B30" s="3454"/>
      <c r="C30" s="3455"/>
      <c r="D30" s="3455"/>
      <c r="E30" s="3456"/>
      <c r="F30" s="3457"/>
      <c r="G30" s="3464"/>
      <c r="H30" s="3459"/>
      <c r="I30" s="3424"/>
      <c r="J30" s="3460"/>
      <c r="K30" s="3461"/>
      <c r="L30" s="3462" t="s">
        <v>3158</v>
      </c>
      <c r="M30" s="3466"/>
      <c r="N30" s="3466"/>
      <c r="O30" s="3467"/>
      <c r="P30" s="3440"/>
      <c r="R30" s="3429"/>
    </row>
    <row r="31" spans="1:18" s="3428" customFormat="1" ht="20.100000000000001" customHeight="1">
      <c r="A31" s="3453"/>
      <c r="B31" s="3454"/>
      <c r="C31" s="3455"/>
      <c r="D31" s="3455"/>
      <c r="E31" s="3456"/>
      <c r="F31" s="3457"/>
      <c r="G31" s="3468"/>
      <c r="H31" s="3459"/>
      <c r="I31" s="3424"/>
      <c r="J31" s="3460"/>
      <c r="K31" s="3461"/>
      <c r="L31" s="3462" t="s">
        <v>3159</v>
      </c>
      <c r="M31" s="3469"/>
      <c r="N31" s="3469"/>
      <c r="O31" s="3470"/>
      <c r="P31" s="3450"/>
      <c r="R31" s="3429"/>
    </row>
    <row r="32" spans="1:18" s="3428" customFormat="1" ht="20.100000000000001" customHeight="1">
      <c r="A32" s="3453" t="s">
        <v>3161</v>
      </c>
      <c r="B32" s="3454" t="s">
        <v>3162</v>
      </c>
      <c r="C32" s="3455">
        <v>42699</v>
      </c>
      <c r="D32" s="3455">
        <v>44524</v>
      </c>
      <c r="E32" s="3456" t="s">
        <v>3163</v>
      </c>
      <c r="F32" s="3457" t="s">
        <v>3160</v>
      </c>
      <c r="G32" s="3474">
        <v>72586.080000000002</v>
      </c>
      <c r="H32" s="3424"/>
      <c r="I32" s="3424"/>
      <c r="J32" s="3460">
        <v>318.36</v>
      </c>
      <c r="K32" s="3461">
        <f>G32/J32</f>
        <v>228</v>
      </c>
      <c r="L32" s="3472" t="s">
        <v>3164</v>
      </c>
      <c r="M32" s="3472"/>
      <c r="N32" s="3375">
        <f>J32</f>
        <v>318.36</v>
      </c>
      <c r="O32" s="3364"/>
      <c r="P32" s="3471">
        <f>O33*J32</f>
        <v>9.5508000000000006</v>
      </c>
      <c r="R32" s="3429"/>
    </row>
    <row r="33" spans="1:18" s="3428" customFormat="1" ht="20.100000000000001" customHeight="1">
      <c r="A33" s="3453"/>
      <c r="B33" s="3454"/>
      <c r="C33" s="3455"/>
      <c r="D33" s="3455"/>
      <c r="E33" s="3456"/>
      <c r="F33" s="3457"/>
      <c r="G33" s="3475"/>
      <c r="H33" s="3424"/>
      <c r="I33" s="3424"/>
      <c r="J33" s="3460"/>
      <c r="K33" s="3461"/>
      <c r="L33" s="3476" t="s">
        <v>3165</v>
      </c>
      <c r="M33" s="3476">
        <v>72586</v>
      </c>
      <c r="N33" s="3476"/>
      <c r="O33" s="3477">
        <f>ROUND((80026.15-G32)/G32/3,2)</f>
        <v>0.03</v>
      </c>
      <c r="P33" s="3471"/>
      <c r="R33" s="3429"/>
    </row>
    <row r="34" spans="1:18" s="3428" customFormat="1" ht="20.100000000000001" customHeight="1">
      <c r="A34" s="3453"/>
      <c r="B34" s="3454"/>
      <c r="C34" s="3455"/>
      <c r="D34" s="3455"/>
      <c r="E34" s="3456"/>
      <c r="F34" s="3457"/>
      <c r="G34" s="3475"/>
      <c r="H34" s="3424"/>
      <c r="I34" s="3424"/>
      <c r="J34" s="3460"/>
      <c r="K34" s="3461"/>
      <c r="L34" s="3472" t="s">
        <v>3166</v>
      </c>
      <c r="M34" s="3472" t="s">
        <v>3167</v>
      </c>
      <c r="N34" s="3472"/>
      <c r="O34" s="3473"/>
      <c r="P34" s="3471"/>
      <c r="R34" s="3429"/>
    </row>
    <row r="35" spans="1:18" s="3428" customFormat="1" ht="20.100000000000001" customHeight="1">
      <c r="A35" s="3453"/>
      <c r="B35" s="3454"/>
      <c r="C35" s="3455"/>
      <c r="D35" s="3455"/>
      <c r="E35" s="3456"/>
      <c r="F35" s="3457"/>
      <c r="G35" s="3478"/>
      <c r="H35" s="3424"/>
      <c r="I35" s="3424"/>
      <c r="J35" s="3460"/>
      <c r="K35" s="3461"/>
      <c r="L35" s="3472" t="s">
        <v>3168</v>
      </c>
      <c r="M35" s="3472"/>
      <c r="N35" s="3472"/>
      <c r="O35" s="3473"/>
      <c r="P35" s="3471"/>
      <c r="R35" s="3429"/>
    </row>
    <row r="36" spans="1:18" s="3428" customFormat="1" ht="20.100000000000001" customHeight="1">
      <c r="A36" s="3453" t="s">
        <v>3169</v>
      </c>
      <c r="B36" s="3454" t="s">
        <v>3170</v>
      </c>
      <c r="C36" s="3455">
        <v>42699</v>
      </c>
      <c r="D36" s="3455">
        <v>44524</v>
      </c>
      <c r="E36" s="3456" t="s">
        <v>3171</v>
      </c>
      <c r="F36" s="3457" t="s">
        <v>3129</v>
      </c>
      <c r="G36" s="3458">
        <v>52522.080000000002</v>
      </c>
      <c r="H36" s="3424"/>
      <c r="I36" s="3424"/>
      <c r="J36" s="3460">
        <v>230.36</v>
      </c>
      <c r="K36" s="3461">
        <f>G36/J36</f>
        <v>228</v>
      </c>
      <c r="L36" s="3472" t="s">
        <v>3172</v>
      </c>
      <c r="M36" s="3472"/>
      <c r="N36" s="3375">
        <f>J36</f>
        <v>230.36</v>
      </c>
      <c r="O36" s="3364"/>
      <c r="P36" s="3471">
        <f>O37*J36</f>
        <v>6.9108000000000001</v>
      </c>
      <c r="R36" s="3429"/>
    </row>
    <row r="37" spans="1:18" s="3428" customFormat="1" ht="20.100000000000001" customHeight="1">
      <c r="A37" s="3453"/>
      <c r="B37" s="3454"/>
      <c r="C37" s="3455"/>
      <c r="D37" s="3455"/>
      <c r="E37" s="3456"/>
      <c r="F37" s="3457"/>
      <c r="G37" s="3464"/>
      <c r="H37" s="3424"/>
      <c r="I37" s="3424"/>
      <c r="J37" s="3460"/>
      <c r="K37" s="3461"/>
      <c r="L37" s="3476" t="s">
        <v>3173</v>
      </c>
      <c r="M37" s="3476">
        <v>52522.080000000002</v>
      </c>
      <c r="N37" s="3476"/>
      <c r="O37" s="3477">
        <f>ROUND((57905.59-G36)/G36/3,2)</f>
        <v>0.03</v>
      </c>
      <c r="P37" s="3471"/>
      <c r="R37" s="3429"/>
    </row>
    <row r="38" spans="1:18" s="3428" customFormat="1" ht="20.100000000000001" customHeight="1">
      <c r="A38" s="3453"/>
      <c r="B38" s="3454"/>
      <c r="C38" s="3455"/>
      <c r="D38" s="3455"/>
      <c r="E38" s="3456"/>
      <c r="F38" s="3457"/>
      <c r="G38" s="3464"/>
      <c r="H38" s="3424"/>
      <c r="I38" s="3424"/>
      <c r="J38" s="3460"/>
      <c r="K38" s="3461"/>
      <c r="L38" s="3472" t="s">
        <v>3174</v>
      </c>
      <c r="M38" s="3472"/>
      <c r="N38" s="3472"/>
      <c r="O38" s="3473"/>
      <c r="P38" s="3471"/>
      <c r="R38" s="3429"/>
    </row>
    <row r="39" spans="1:18" s="3428" customFormat="1" ht="20.100000000000001" customHeight="1">
      <c r="A39" s="3453"/>
      <c r="B39" s="3454"/>
      <c r="C39" s="3455"/>
      <c r="D39" s="3455"/>
      <c r="E39" s="3456"/>
      <c r="F39" s="3457"/>
      <c r="G39" s="3468"/>
      <c r="H39" s="3424"/>
      <c r="I39" s="3424"/>
      <c r="J39" s="3460"/>
      <c r="K39" s="3461"/>
      <c r="L39" s="3472" t="s">
        <v>3175</v>
      </c>
      <c r="M39" s="3472"/>
      <c r="N39" s="3472"/>
      <c r="O39" s="3473"/>
      <c r="P39" s="3471"/>
      <c r="R39" s="3429"/>
    </row>
    <row r="40" spans="1:18" s="3428" customFormat="1" ht="20.100000000000001" customHeight="1">
      <c r="A40" s="3453" t="s">
        <v>3176</v>
      </c>
      <c r="B40" s="3454" t="s">
        <v>3177</v>
      </c>
      <c r="C40" s="3455">
        <v>42824</v>
      </c>
      <c r="D40" s="3455">
        <v>43919</v>
      </c>
      <c r="E40" s="3456" t="s">
        <v>3178</v>
      </c>
      <c r="F40" s="3457" t="s">
        <v>3129</v>
      </c>
      <c r="G40" s="3458">
        <f>71100+47447.4</f>
        <v>118547.4</v>
      </c>
      <c r="H40" s="3424"/>
      <c r="I40" s="3424"/>
      <c r="J40" s="3460">
        <f>300+200.2</f>
        <v>500.2</v>
      </c>
      <c r="K40" s="3461">
        <f>G40/J40</f>
        <v>237</v>
      </c>
      <c r="L40" s="3472" t="s">
        <v>3179</v>
      </c>
      <c r="M40" s="3472"/>
      <c r="N40" s="3375">
        <f>J40</f>
        <v>500.2</v>
      </c>
      <c r="O40" s="3364"/>
      <c r="P40" s="3471">
        <f>O41*J40</f>
        <v>0</v>
      </c>
      <c r="R40" s="3429"/>
    </row>
    <row r="41" spans="1:18" s="3428" customFormat="1" ht="20.100000000000001" customHeight="1">
      <c r="A41" s="3453"/>
      <c r="B41" s="3454"/>
      <c r="C41" s="3455"/>
      <c r="D41" s="3455"/>
      <c r="E41" s="3456"/>
      <c r="F41" s="3457"/>
      <c r="G41" s="3464"/>
      <c r="H41" s="3424"/>
      <c r="I41" s="3424"/>
      <c r="J41" s="3460"/>
      <c r="K41" s="3461"/>
      <c r="L41" s="3476" t="s">
        <v>3180</v>
      </c>
      <c r="M41" s="3476">
        <v>118547.4</v>
      </c>
      <c r="N41" s="3476"/>
      <c r="O41" s="3477">
        <v>0</v>
      </c>
      <c r="P41" s="3471"/>
      <c r="R41" s="3429"/>
    </row>
    <row r="42" spans="1:18" s="3428" customFormat="1" ht="20.100000000000001" customHeight="1">
      <c r="A42" s="3453"/>
      <c r="B42" s="3454"/>
      <c r="C42" s="3455"/>
      <c r="D42" s="3455"/>
      <c r="E42" s="3456"/>
      <c r="F42" s="3457"/>
      <c r="G42" s="3468"/>
      <c r="H42" s="3424"/>
      <c r="I42" s="3424"/>
      <c r="J42" s="3460"/>
      <c r="K42" s="3461"/>
      <c r="L42" s="3472" t="s">
        <v>3181</v>
      </c>
      <c r="M42" s="3472"/>
      <c r="N42" s="3472"/>
      <c r="O42" s="3473"/>
      <c r="P42" s="3471"/>
      <c r="R42" s="3429"/>
    </row>
    <row r="43" spans="1:18" s="3428" customFormat="1" ht="19.5" customHeight="1">
      <c r="A43" s="3453" t="s">
        <v>3182</v>
      </c>
      <c r="B43" s="3454" t="s">
        <v>3186</v>
      </c>
      <c r="C43" s="3455">
        <v>42814</v>
      </c>
      <c r="D43" s="3455">
        <v>43909</v>
      </c>
      <c r="E43" s="3456" t="s">
        <v>3183</v>
      </c>
      <c r="F43" s="3457" t="s">
        <v>3184</v>
      </c>
      <c r="G43" s="3458">
        <v>52896</v>
      </c>
      <c r="H43" s="3424"/>
      <c r="I43" s="3424"/>
      <c r="J43" s="3460">
        <v>228</v>
      </c>
      <c r="K43" s="3461">
        <f>G43/J43</f>
        <v>232</v>
      </c>
      <c r="L43" s="3472" t="s">
        <v>3185</v>
      </c>
      <c r="M43" s="3472"/>
      <c r="N43" s="3375">
        <f>J43</f>
        <v>228</v>
      </c>
      <c r="O43" s="3364"/>
      <c r="P43" s="3471">
        <f>O44*J43</f>
        <v>0</v>
      </c>
      <c r="R43" s="3429"/>
    </row>
    <row r="44" spans="1:18" s="3428" customFormat="1" ht="20.100000000000001" customHeight="1">
      <c r="A44" s="3453"/>
      <c r="B44" s="3454"/>
      <c r="C44" s="3455"/>
      <c r="D44" s="3455"/>
      <c r="E44" s="3456"/>
      <c r="F44" s="3457"/>
      <c r="G44" s="3464"/>
      <c r="H44" s="3424"/>
      <c r="I44" s="3424"/>
      <c r="J44" s="3460"/>
      <c r="K44" s="3461"/>
      <c r="L44" s="3476" t="s">
        <v>3187</v>
      </c>
      <c r="M44" s="3476">
        <v>52896</v>
      </c>
      <c r="N44" s="3476"/>
      <c r="O44" s="3477">
        <v>0</v>
      </c>
      <c r="P44" s="3471"/>
      <c r="R44" s="3429"/>
    </row>
    <row r="45" spans="1:18" s="3428" customFormat="1" ht="20.100000000000001" customHeight="1">
      <c r="A45" s="3453"/>
      <c r="B45" s="3454"/>
      <c r="C45" s="3455"/>
      <c r="D45" s="3455"/>
      <c r="E45" s="3456"/>
      <c r="F45" s="3457"/>
      <c r="G45" s="3468"/>
      <c r="H45" s="3424"/>
      <c r="I45" s="3424"/>
      <c r="J45" s="3460"/>
      <c r="K45" s="3461"/>
      <c r="L45" s="3472" t="s">
        <v>3188</v>
      </c>
      <c r="M45" s="3472"/>
      <c r="N45" s="3472"/>
      <c r="O45" s="3473"/>
      <c r="P45" s="3471"/>
      <c r="R45" s="3429"/>
    </row>
    <row r="46" spans="1:18" s="3428" customFormat="1" ht="20.100000000000001" customHeight="1">
      <c r="A46" s="3453" t="s">
        <v>3189</v>
      </c>
      <c r="B46" s="3454" t="s">
        <v>3190</v>
      </c>
      <c r="C46" s="3455">
        <v>42814</v>
      </c>
      <c r="D46" s="3455">
        <v>43909</v>
      </c>
      <c r="E46" s="3456" t="s">
        <v>3191</v>
      </c>
      <c r="F46" s="3457" t="s">
        <v>3184</v>
      </c>
      <c r="G46" s="3458">
        <v>52896</v>
      </c>
      <c r="H46" s="3424"/>
      <c r="I46" s="3424"/>
      <c r="J46" s="3460">
        <v>228</v>
      </c>
      <c r="K46" s="3461">
        <f>G46/J46</f>
        <v>232</v>
      </c>
      <c r="L46" s="3472" t="s">
        <v>3185</v>
      </c>
      <c r="M46" s="3472"/>
      <c r="N46" s="3375">
        <f>J46</f>
        <v>228</v>
      </c>
      <c r="O46" s="3364"/>
      <c r="P46" s="3471">
        <f>O47*J46</f>
        <v>0</v>
      </c>
      <c r="R46" s="3429"/>
    </row>
    <row r="47" spans="1:18" s="3428" customFormat="1" ht="20.100000000000001" customHeight="1">
      <c r="A47" s="3453"/>
      <c r="B47" s="3454"/>
      <c r="C47" s="3455"/>
      <c r="D47" s="3455"/>
      <c r="E47" s="3456"/>
      <c r="F47" s="3457"/>
      <c r="G47" s="3464"/>
      <c r="H47" s="3424"/>
      <c r="I47" s="3424"/>
      <c r="J47" s="3460"/>
      <c r="K47" s="3461"/>
      <c r="L47" s="3476" t="s">
        <v>3187</v>
      </c>
      <c r="M47" s="3476">
        <v>52896</v>
      </c>
      <c r="N47" s="3476"/>
      <c r="O47" s="3477">
        <v>0</v>
      </c>
      <c r="P47" s="3471"/>
      <c r="R47" s="3429"/>
    </row>
    <row r="48" spans="1:18" s="3428" customFormat="1" ht="20.100000000000001" customHeight="1">
      <c r="A48" s="3453"/>
      <c r="B48" s="3454"/>
      <c r="C48" s="3455"/>
      <c r="D48" s="3455"/>
      <c r="E48" s="3456"/>
      <c r="F48" s="3457"/>
      <c r="G48" s="3468"/>
      <c r="H48" s="3424"/>
      <c r="I48" s="3424"/>
      <c r="J48" s="3460"/>
      <c r="K48" s="3461"/>
      <c r="L48" s="3472" t="s">
        <v>3188</v>
      </c>
      <c r="M48" s="3472"/>
      <c r="N48" s="3472"/>
      <c r="O48" s="3473"/>
      <c r="P48" s="3471"/>
      <c r="R48" s="3429"/>
    </row>
    <row r="49" spans="1:18" s="3428" customFormat="1" ht="20.100000000000001" customHeight="1">
      <c r="A49" s="3453" t="s">
        <v>3192</v>
      </c>
      <c r="B49" s="3454" t="s">
        <v>3197</v>
      </c>
      <c r="C49" s="3455">
        <v>42814</v>
      </c>
      <c r="D49" s="3455">
        <v>43909</v>
      </c>
      <c r="E49" s="3456" t="s">
        <v>3193</v>
      </c>
      <c r="F49" s="3457" t="s">
        <v>3129</v>
      </c>
      <c r="G49" s="3458">
        <v>53039.839999999997</v>
      </c>
      <c r="H49" s="3424"/>
      <c r="I49" s="3424"/>
      <c r="J49" s="3460">
        <v>228.62</v>
      </c>
      <c r="K49" s="3461">
        <f>G49/J49</f>
        <v>231.99999999999997</v>
      </c>
      <c r="L49" s="3472" t="s">
        <v>3194</v>
      </c>
      <c r="M49" s="3472"/>
      <c r="N49" s="3375">
        <f>J49</f>
        <v>228.62</v>
      </c>
      <c r="O49" s="3364"/>
      <c r="P49" s="3471">
        <f>O50*J49</f>
        <v>0</v>
      </c>
      <c r="R49" s="3429"/>
    </row>
    <row r="50" spans="1:18" s="3428" customFormat="1" ht="20.100000000000001" customHeight="1">
      <c r="A50" s="3453"/>
      <c r="B50" s="3454"/>
      <c r="C50" s="3455"/>
      <c r="D50" s="3455"/>
      <c r="E50" s="3456"/>
      <c r="F50" s="3457"/>
      <c r="G50" s="3464"/>
      <c r="H50" s="3424"/>
      <c r="I50" s="3424"/>
      <c r="J50" s="3460"/>
      <c r="K50" s="3461"/>
      <c r="L50" s="3476" t="s">
        <v>3195</v>
      </c>
      <c r="M50" s="3476">
        <v>53039.839999999997</v>
      </c>
      <c r="N50" s="3476"/>
      <c r="O50" s="3477">
        <v>0</v>
      </c>
      <c r="P50" s="3471"/>
      <c r="R50" s="3429"/>
    </row>
    <row r="51" spans="1:18" s="3428" customFormat="1" ht="20.100000000000001" customHeight="1">
      <c r="A51" s="3453"/>
      <c r="B51" s="3454"/>
      <c r="C51" s="3455"/>
      <c r="D51" s="3455"/>
      <c r="E51" s="3456"/>
      <c r="F51" s="3457"/>
      <c r="G51" s="3468"/>
      <c r="H51" s="3424"/>
      <c r="I51" s="3424"/>
      <c r="J51" s="3460"/>
      <c r="K51" s="3461"/>
      <c r="L51" s="3472" t="s">
        <v>3196</v>
      </c>
      <c r="M51" s="3472"/>
      <c r="N51" s="3472"/>
      <c r="O51" s="3473"/>
      <c r="P51" s="3471"/>
      <c r="R51" s="3429"/>
    </row>
    <row r="52" spans="1:18" s="3428" customFormat="1" ht="20.100000000000001" customHeight="1">
      <c r="A52" s="3453" t="s">
        <v>3198</v>
      </c>
      <c r="B52" s="3454" t="s">
        <v>3199</v>
      </c>
      <c r="C52" s="3455">
        <v>42814</v>
      </c>
      <c r="D52" s="3455">
        <v>43909</v>
      </c>
      <c r="E52" s="3456" t="s">
        <v>3193</v>
      </c>
      <c r="F52" s="3457" t="s">
        <v>3129</v>
      </c>
      <c r="G52" s="3458">
        <v>78211.839999999997</v>
      </c>
      <c r="H52" s="3424"/>
      <c r="I52" s="3424"/>
      <c r="J52" s="3460">
        <v>337.12</v>
      </c>
      <c r="K52" s="3461">
        <f>G52/J52</f>
        <v>232</v>
      </c>
      <c r="L52" s="3472" t="s">
        <v>3200</v>
      </c>
      <c r="M52" s="3472"/>
      <c r="N52" s="3375">
        <f>J52</f>
        <v>337.12</v>
      </c>
      <c r="O52" s="3364"/>
      <c r="P52" s="3471">
        <f>O53*J52</f>
        <v>0</v>
      </c>
      <c r="R52" s="3429"/>
    </row>
    <row r="53" spans="1:18" s="3428" customFormat="1" ht="20.100000000000001" customHeight="1">
      <c r="A53" s="3453"/>
      <c r="B53" s="3454"/>
      <c r="C53" s="3455"/>
      <c r="D53" s="3455"/>
      <c r="E53" s="3456"/>
      <c r="F53" s="3457"/>
      <c r="G53" s="3464"/>
      <c r="H53" s="3424"/>
      <c r="I53" s="3424"/>
      <c r="J53" s="3460"/>
      <c r="K53" s="3461"/>
      <c r="L53" s="3476" t="s">
        <v>3201</v>
      </c>
      <c r="M53" s="3476">
        <v>78211.839999999997</v>
      </c>
      <c r="N53" s="3476"/>
      <c r="O53" s="3477">
        <v>0</v>
      </c>
      <c r="P53" s="3471"/>
      <c r="R53" s="3429"/>
    </row>
    <row r="54" spans="1:18" s="3428" customFormat="1" ht="20.100000000000001" customHeight="1">
      <c r="A54" s="3453"/>
      <c r="B54" s="3454"/>
      <c r="C54" s="3455"/>
      <c r="D54" s="3455"/>
      <c r="E54" s="3456"/>
      <c r="F54" s="3457"/>
      <c r="G54" s="3468"/>
      <c r="H54" s="3424"/>
      <c r="I54" s="3424"/>
      <c r="J54" s="3460"/>
      <c r="K54" s="3461"/>
      <c r="L54" s="3472" t="s">
        <v>3202</v>
      </c>
      <c r="M54" s="3472"/>
      <c r="N54" s="3472"/>
      <c r="O54" s="3473"/>
      <c r="P54" s="3471"/>
      <c r="R54" s="3429"/>
    </row>
    <row r="55" spans="1:18" s="3428" customFormat="1" ht="19.5" customHeight="1">
      <c r="A55" s="3453" t="s">
        <v>3203</v>
      </c>
      <c r="B55" s="3481" t="s">
        <v>3137</v>
      </c>
      <c r="C55" s="3455">
        <v>42917</v>
      </c>
      <c r="D55" s="3455">
        <v>44012</v>
      </c>
      <c r="E55" s="3456" t="s">
        <v>3204</v>
      </c>
      <c r="F55" s="3457" t="s">
        <v>3129</v>
      </c>
      <c r="G55" s="3458">
        <v>164308.79999999999</v>
      </c>
      <c r="H55" s="3424"/>
      <c r="I55" s="3424"/>
      <c r="J55" s="3460">
        <v>684.62</v>
      </c>
      <c r="K55" s="3461">
        <f>G55/J55</f>
        <v>239.99999999999997</v>
      </c>
      <c r="L55" s="3472" t="s">
        <v>3205</v>
      </c>
      <c r="M55" s="3482"/>
      <c r="N55" s="3375">
        <f>J55</f>
        <v>684.62</v>
      </c>
      <c r="O55" s="3364"/>
      <c r="P55" s="3427">
        <f>O56*J55</f>
        <v>0</v>
      </c>
      <c r="R55" s="3429"/>
    </row>
    <row r="56" spans="1:18" s="3428" customFormat="1" ht="20.100000000000001" customHeight="1">
      <c r="A56" s="3453"/>
      <c r="B56" s="3483"/>
      <c r="C56" s="3455"/>
      <c r="D56" s="3455"/>
      <c r="E56" s="3456"/>
      <c r="F56" s="3457"/>
      <c r="G56" s="3464"/>
      <c r="H56" s="3424"/>
      <c r="I56" s="3424"/>
      <c r="J56" s="3460"/>
      <c r="K56" s="3461"/>
      <c r="L56" s="3476" t="s">
        <v>3207</v>
      </c>
      <c r="M56" s="3452">
        <v>164308.79999999999</v>
      </c>
      <c r="N56" s="3452"/>
      <c r="O56" s="3480">
        <v>0</v>
      </c>
      <c r="P56" s="3440"/>
      <c r="R56" s="3429"/>
    </row>
    <row r="57" spans="1:18" s="3428" customFormat="1" ht="20.100000000000001" customHeight="1">
      <c r="A57" s="3453"/>
      <c r="B57" s="3484"/>
      <c r="C57" s="3455"/>
      <c r="D57" s="3455"/>
      <c r="E57" s="3456"/>
      <c r="F57" s="3457"/>
      <c r="G57" s="3468"/>
      <c r="H57" s="3424"/>
      <c r="I57" s="3424"/>
      <c r="J57" s="3460"/>
      <c r="K57" s="3461"/>
      <c r="L57" s="3485" t="s">
        <v>3208</v>
      </c>
      <c r="M57" s="3485"/>
      <c r="N57" s="3485"/>
      <c r="O57" s="3486"/>
      <c r="P57" s="3450"/>
      <c r="R57" s="3429"/>
    </row>
    <row r="58" spans="1:18" s="3428" customFormat="1" ht="20.100000000000001" customHeight="1">
      <c r="A58" s="3453" t="s">
        <v>3209</v>
      </c>
      <c r="B58" s="3487" t="s">
        <v>3210</v>
      </c>
      <c r="C58" s="3455">
        <v>42915</v>
      </c>
      <c r="D58" s="3455">
        <v>44740</v>
      </c>
      <c r="E58" s="3456" t="s">
        <v>3211</v>
      </c>
      <c r="F58" s="3457" t="s">
        <v>3206</v>
      </c>
      <c r="G58" s="3488"/>
      <c r="H58" s="3424"/>
      <c r="I58" s="3424"/>
      <c r="J58" s="3460">
        <v>2026.24</v>
      </c>
      <c r="K58" s="3461">
        <f>G61/J58</f>
        <v>280</v>
      </c>
      <c r="L58" s="3472" t="s">
        <v>3212</v>
      </c>
      <c r="M58" s="3472"/>
      <c r="N58" s="3375">
        <f>J58</f>
        <v>2026.24</v>
      </c>
      <c r="O58" s="3364"/>
      <c r="P58" s="3471">
        <f>O59*J58</f>
        <v>0</v>
      </c>
      <c r="R58" s="3429"/>
    </row>
    <row r="59" spans="1:18" s="3428" customFormat="1" ht="20.100000000000001" customHeight="1">
      <c r="A59" s="3453"/>
      <c r="B59" s="3487"/>
      <c r="C59" s="3455"/>
      <c r="D59" s="3455"/>
      <c r="E59" s="3456"/>
      <c r="F59" s="3457"/>
      <c r="G59" s="3489"/>
      <c r="H59" s="3424"/>
      <c r="I59" s="3424"/>
      <c r="J59" s="3460"/>
      <c r="K59" s="3461"/>
      <c r="L59" s="3476" t="s">
        <v>3214</v>
      </c>
      <c r="M59" s="3476">
        <v>567347.19999999995</v>
      </c>
      <c r="N59" s="3476"/>
      <c r="O59" s="3477">
        <v>0</v>
      </c>
      <c r="P59" s="3471"/>
      <c r="R59" s="3429"/>
    </row>
    <row r="60" spans="1:18" s="3428" customFormat="1" ht="20.100000000000001" customHeight="1">
      <c r="A60" s="3453"/>
      <c r="B60" s="3487"/>
      <c r="C60" s="3455"/>
      <c r="D60" s="3455"/>
      <c r="E60" s="3456"/>
      <c r="F60" s="3457"/>
      <c r="G60" s="3489"/>
      <c r="H60" s="3424"/>
      <c r="I60" s="3424"/>
      <c r="J60" s="3460"/>
      <c r="K60" s="3461"/>
      <c r="L60" s="3472" t="s">
        <v>3215</v>
      </c>
      <c r="M60" s="3472"/>
      <c r="N60" s="3472"/>
      <c r="O60" s="3473"/>
      <c r="P60" s="3471"/>
      <c r="R60" s="3429"/>
    </row>
    <row r="61" spans="1:18" s="3428" customFormat="1" ht="20.100000000000001" customHeight="1">
      <c r="A61" s="3453"/>
      <c r="B61" s="3487"/>
      <c r="C61" s="3455"/>
      <c r="D61" s="3455"/>
      <c r="E61" s="3456"/>
      <c r="F61" s="3457"/>
      <c r="G61" s="3490">
        <v>567347.19999999995</v>
      </c>
      <c r="H61" s="3424"/>
      <c r="I61" s="3424"/>
      <c r="J61" s="3460"/>
      <c r="K61" s="3461"/>
      <c r="L61" s="3472" t="s">
        <v>3216</v>
      </c>
      <c r="M61" s="3472"/>
      <c r="N61" s="3472"/>
      <c r="O61" s="3473"/>
      <c r="P61" s="3471"/>
      <c r="R61" s="3429"/>
    </row>
    <row r="62" spans="1:18" s="3428" customFormat="1" ht="20.100000000000001" customHeight="1">
      <c r="A62" s="3453" t="s">
        <v>3217</v>
      </c>
      <c r="B62" s="3487" t="s">
        <v>3210</v>
      </c>
      <c r="C62" s="3455">
        <v>42915</v>
      </c>
      <c r="D62" s="3455">
        <v>44740</v>
      </c>
      <c r="E62" s="3456" t="s">
        <v>3211</v>
      </c>
      <c r="F62" s="3457" t="s">
        <v>3206</v>
      </c>
      <c r="G62" s="3488"/>
      <c r="H62" s="3424"/>
      <c r="I62" s="3424"/>
      <c r="J62" s="3460">
        <v>2026.24</v>
      </c>
      <c r="K62" s="3461">
        <f>G65/J62</f>
        <v>300</v>
      </c>
      <c r="L62" s="3472" t="s">
        <v>3218</v>
      </c>
      <c r="M62" s="3482"/>
      <c r="N62" s="3375">
        <f>J62</f>
        <v>2026.24</v>
      </c>
      <c r="O62" s="3364"/>
      <c r="P62" s="3427">
        <f>O63*J62</f>
        <v>60.787199999999999</v>
      </c>
      <c r="R62" s="3429"/>
    </row>
    <row r="63" spans="1:18" s="3428" customFormat="1" ht="20.100000000000001" customHeight="1">
      <c r="A63" s="3453"/>
      <c r="B63" s="3487"/>
      <c r="C63" s="3455"/>
      <c r="D63" s="3455"/>
      <c r="E63" s="3456"/>
      <c r="F63" s="3457"/>
      <c r="G63" s="3489"/>
      <c r="H63" s="3424"/>
      <c r="I63" s="3424"/>
      <c r="J63" s="3460"/>
      <c r="K63" s="3461"/>
      <c r="L63" s="3476" t="s">
        <v>3219</v>
      </c>
      <c r="M63" s="3452">
        <v>607872</v>
      </c>
      <c r="N63" s="3452"/>
      <c r="O63" s="3480">
        <f>ROUND((670178.88-G65)/G65/3,2)</f>
        <v>0.03</v>
      </c>
      <c r="P63" s="3440"/>
      <c r="R63" s="3429"/>
    </row>
    <row r="64" spans="1:18" s="3428" customFormat="1" ht="20.100000000000001" customHeight="1">
      <c r="A64" s="3453"/>
      <c r="B64" s="3487"/>
      <c r="C64" s="3455"/>
      <c r="D64" s="3455"/>
      <c r="E64" s="3456"/>
      <c r="F64" s="3457"/>
      <c r="G64" s="3489"/>
      <c r="H64" s="3424"/>
      <c r="I64" s="3424"/>
      <c r="J64" s="3460"/>
      <c r="K64" s="3461"/>
      <c r="L64" s="3472" t="s">
        <v>3220</v>
      </c>
      <c r="M64" s="3491"/>
      <c r="N64" s="3491"/>
      <c r="O64" s="3492"/>
      <c r="P64" s="3440"/>
      <c r="R64" s="3429"/>
    </row>
    <row r="65" spans="1:18" s="3428" customFormat="1" ht="20.100000000000001" customHeight="1">
      <c r="A65" s="3453"/>
      <c r="B65" s="3487"/>
      <c r="C65" s="3455"/>
      <c r="D65" s="3455"/>
      <c r="E65" s="3456"/>
      <c r="F65" s="3457"/>
      <c r="G65" s="3490">
        <v>607872</v>
      </c>
      <c r="H65" s="3424"/>
      <c r="I65" s="3424"/>
      <c r="J65" s="3460"/>
      <c r="K65" s="3461"/>
      <c r="L65" s="3472" t="s">
        <v>3221</v>
      </c>
      <c r="M65" s="3493"/>
      <c r="N65" s="3493"/>
      <c r="O65" s="3494"/>
      <c r="P65" s="3450"/>
      <c r="R65" s="3429"/>
    </row>
    <row r="66" spans="1:18" s="3428" customFormat="1" ht="20.100000000000001" customHeight="1">
      <c r="A66" s="3453" t="s">
        <v>3222</v>
      </c>
      <c r="B66" s="3487" t="s">
        <v>3223</v>
      </c>
      <c r="C66" s="3455">
        <v>42944</v>
      </c>
      <c r="D66" s="3455">
        <v>44039</v>
      </c>
      <c r="E66" s="3456" t="s">
        <v>3224</v>
      </c>
      <c r="F66" s="3457" t="s">
        <v>3206</v>
      </c>
      <c r="G66" s="3488"/>
      <c r="H66" s="3424"/>
      <c r="I66" s="3424"/>
      <c r="J66" s="3460">
        <v>337.41</v>
      </c>
      <c r="K66" s="3461">
        <f>G68/J66</f>
        <v>234.99970362467027</v>
      </c>
      <c r="L66" s="3472" t="s">
        <v>3225</v>
      </c>
      <c r="M66" s="3482"/>
      <c r="N66" s="3375">
        <f>J66</f>
        <v>337.41</v>
      </c>
      <c r="O66" s="3364"/>
      <c r="P66" s="3427">
        <f>O67*J66</f>
        <v>0</v>
      </c>
      <c r="R66" s="3429"/>
    </row>
    <row r="67" spans="1:18" s="3428" customFormat="1" ht="20.100000000000001" customHeight="1">
      <c r="A67" s="3453"/>
      <c r="B67" s="3487"/>
      <c r="C67" s="3455"/>
      <c r="D67" s="3455"/>
      <c r="E67" s="3456"/>
      <c r="F67" s="3457"/>
      <c r="G67" s="3489"/>
      <c r="H67" s="3424"/>
      <c r="I67" s="3424"/>
      <c r="J67" s="3460"/>
      <c r="K67" s="3461"/>
      <c r="L67" s="3476" t="s">
        <v>3226</v>
      </c>
      <c r="M67" s="3452">
        <v>79291.350000000006</v>
      </c>
      <c r="N67" s="3452"/>
      <c r="O67" s="3480">
        <v>0</v>
      </c>
      <c r="P67" s="3440"/>
      <c r="R67" s="3429"/>
    </row>
    <row r="68" spans="1:18" s="3428" customFormat="1" ht="20.100000000000001" customHeight="1">
      <c r="A68" s="3453"/>
      <c r="B68" s="3487"/>
      <c r="C68" s="3455"/>
      <c r="D68" s="3455"/>
      <c r="E68" s="3456"/>
      <c r="F68" s="3457"/>
      <c r="G68" s="3490">
        <v>79291.25</v>
      </c>
      <c r="H68" s="3424"/>
      <c r="I68" s="3424"/>
      <c r="J68" s="3460"/>
      <c r="K68" s="3461"/>
      <c r="L68" s="3472" t="s">
        <v>3227</v>
      </c>
      <c r="M68" s="3493"/>
      <c r="N68" s="3493"/>
      <c r="O68" s="3494"/>
      <c r="P68" s="3450"/>
      <c r="R68" s="3429"/>
    </row>
    <row r="69" spans="1:18" s="3428" customFormat="1" ht="20.100000000000001" customHeight="1">
      <c r="A69" s="3453" t="s">
        <v>3228</v>
      </c>
      <c r="B69" s="3487" t="s">
        <v>3229</v>
      </c>
      <c r="C69" s="3455">
        <v>42944</v>
      </c>
      <c r="D69" s="3455">
        <v>44039</v>
      </c>
      <c r="E69" s="3456" t="s">
        <v>3230</v>
      </c>
      <c r="F69" s="3457" t="s">
        <v>3213</v>
      </c>
      <c r="G69" s="3488"/>
      <c r="H69" s="3424"/>
      <c r="I69" s="3424"/>
      <c r="J69" s="3460">
        <v>686.35</v>
      </c>
      <c r="K69" s="3461">
        <f>G71/J69</f>
        <v>235</v>
      </c>
      <c r="L69" s="3472" t="s">
        <v>3231</v>
      </c>
      <c r="M69" s="3482"/>
      <c r="N69" s="3375">
        <f>J69</f>
        <v>686.35</v>
      </c>
      <c r="O69" s="3364"/>
      <c r="P69" s="3427">
        <f>O70*J69</f>
        <v>0</v>
      </c>
      <c r="R69" s="3429"/>
    </row>
    <row r="70" spans="1:18" s="3428" customFormat="1" ht="20.100000000000001" customHeight="1">
      <c r="A70" s="3453"/>
      <c r="B70" s="3487"/>
      <c r="C70" s="3455"/>
      <c r="D70" s="3455"/>
      <c r="E70" s="3456"/>
      <c r="F70" s="3457"/>
      <c r="G70" s="3489"/>
      <c r="H70" s="3424"/>
      <c r="I70" s="3424"/>
      <c r="J70" s="3460"/>
      <c r="K70" s="3461"/>
      <c r="L70" s="3476" t="s">
        <v>3233</v>
      </c>
      <c r="M70" s="3452">
        <v>161292.25</v>
      </c>
      <c r="N70" s="3452"/>
      <c r="O70" s="3480">
        <v>0</v>
      </c>
      <c r="P70" s="3440"/>
      <c r="R70" s="3429"/>
    </row>
    <row r="71" spans="1:18" s="3428" customFormat="1" ht="20.100000000000001" customHeight="1">
      <c r="A71" s="3453"/>
      <c r="B71" s="3487"/>
      <c r="C71" s="3455"/>
      <c r="D71" s="3455"/>
      <c r="E71" s="3456"/>
      <c r="F71" s="3457"/>
      <c r="G71" s="3490">
        <v>161292.25</v>
      </c>
      <c r="H71" s="3424"/>
      <c r="I71" s="3424"/>
      <c r="J71" s="3460"/>
      <c r="K71" s="3461"/>
      <c r="L71" s="3472" t="s">
        <v>3234</v>
      </c>
      <c r="M71" s="3493"/>
      <c r="N71" s="3493"/>
      <c r="O71" s="3494"/>
      <c r="P71" s="3450"/>
      <c r="R71" s="3429"/>
    </row>
    <row r="72" spans="1:18" s="3428" customFormat="1" ht="20.100000000000001" customHeight="1">
      <c r="A72" s="3453" t="s">
        <v>3235</v>
      </c>
      <c r="B72" s="3487" t="s">
        <v>3236</v>
      </c>
      <c r="C72" s="3455">
        <v>42948</v>
      </c>
      <c r="D72" s="3455">
        <v>44043</v>
      </c>
      <c r="E72" s="3456" t="s">
        <v>3237</v>
      </c>
      <c r="F72" s="3457" t="s">
        <v>3232</v>
      </c>
      <c r="G72" s="3488"/>
      <c r="H72" s="3424"/>
      <c r="I72" s="3424"/>
      <c r="J72" s="3460">
        <v>684.62</v>
      </c>
      <c r="K72" s="3461">
        <f>G74/J72</f>
        <v>235.00000000000003</v>
      </c>
      <c r="L72" s="3472" t="s">
        <v>3238</v>
      </c>
      <c r="M72" s="3482"/>
      <c r="N72" s="3375">
        <f>J72</f>
        <v>684.62</v>
      </c>
      <c r="O72" s="3364"/>
      <c r="P72" s="3427">
        <f>O73*J72</f>
        <v>0</v>
      </c>
      <c r="R72" s="3429"/>
    </row>
    <row r="73" spans="1:18" s="3428" customFormat="1" ht="20.100000000000001" customHeight="1">
      <c r="A73" s="3453"/>
      <c r="B73" s="3487"/>
      <c r="C73" s="3455"/>
      <c r="D73" s="3455"/>
      <c r="E73" s="3456"/>
      <c r="F73" s="3457"/>
      <c r="G73" s="3489"/>
      <c r="H73" s="3424"/>
      <c r="I73" s="3424"/>
      <c r="J73" s="3460"/>
      <c r="K73" s="3461"/>
      <c r="L73" s="3476" t="s">
        <v>3239</v>
      </c>
      <c r="M73" s="3452">
        <v>160885.70000000001</v>
      </c>
      <c r="N73" s="3452"/>
      <c r="O73" s="3480">
        <v>0</v>
      </c>
      <c r="P73" s="3440"/>
      <c r="R73" s="3429"/>
    </row>
    <row r="74" spans="1:18" s="3428" customFormat="1" ht="20.100000000000001" customHeight="1">
      <c r="A74" s="3453"/>
      <c r="B74" s="3487"/>
      <c r="C74" s="3455"/>
      <c r="D74" s="3455"/>
      <c r="E74" s="3456"/>
      <c r="F74" s="3457"/>
      <c r="G74" s="3490">
        <v>160885.70000000001</v>
      </c>
      <c r="H74" s="3424"/>
      <c r="I74" s="3424"/>
      <c r="J74" s="3460"/>
      <c r="K74" s="3461"/>
      <c r="L74" s="3472" t="s">
        <v>3240</v>
      </c>
      <c r="M74" s="3493"/>
      <c r="N74" s="3493"/>
      <c r="O74" s="3494"/>
      <c r="P74" s="3450"/>
      <c r="R74" s="3429"/>
    </row>
    <row r="75" spans="1:18" s="3428" customFormat="1" ht="20.100000000000001" customHeight="1">
      <c r="A75" s="3495" t="s">
        <v>3241</v>
      </c>
      <c r="B75" s="3496" t="s">
        <v>3242</v>
      </c>
      <c r="C75" s="3455">
        <v>43069</v>
      </c>
      <c r="D75" s="3455">
        <v>44164</v>
      </c>
      <c r="E75" s="3455" t="s">
        <v>3243</v>
      </c>
      <c r="F75" s="3497" t="s">
        <v>3129</v>
      </c>
      <c r="G75" s="3498">
        <v>130410.8</v>
      </c>
      <c r="H75" s="3424"/>
      <c r="I75" s="3424"/>
      <c r="J75" s="3460">
        <v>501.58</v>
      </c>
      <c r="K75" s="3461">
        <f>G75/J75</f>
        <v>260</v>
      </c>
      <c r="L75" s="3472" t="s">
        <v>3244</v>
      </c>
      <c r="M75" s="3482"/>
      <c r="N75" s="3375">
        <f>J75</f>
        <v>501.58</v>
      </c>
      <c r="O75" s="3364"/>
      <c r="P75" s="3427">
        <f>O76*J75</f>
        <v>0</v>
      </c>
      <c r="R75" s="3429"/>
    </row>
    <row r="76" spans="1:18" s="3428" customFormat="1" ht="20.100000000000001" customHeight="1">
      <c r="A76" s="3495"/>
      <c r="B76" s="3496"/>
      <c r="C76" s="3455"/>
      <c r="D76" s="3455"/>
      <c r="E76" s="3455"/>
      <c r="F76" s="3497"/>
      <c r="G76" s="3499"/>
      <c r="H76" s="3424"/>
      <c r="I76" s="3424"/>
      <c r="J76" s="3460"/>
      <c r="K76" s="3461"/>
      <c r="L76" s="3476" t="s">
        <v>3245</v>
      </c>
      <c r="M76" s="3452">
        <v>130410.8</v>
      </c>
      <c r="N76" s="3452"/>
      <c r="O76" s="3480">
        <v>0</v>
      </c>
      <c r="P76" s="3440"/>
      <c r="R76" s="3429"/>
    </row>
    <row r="77" spans="1:18" s="3428" customFormat="1" ht="20.100000000000001" customHeight="1">
      <c r="A77" s="3495"/>
      <c r="B77" s="3496"/>
      <c r="C77" s="3455"/>
      <c r="D77" s="3455"/>
      <c r="E77" s="3455"/>
      <c r="F77" s="3497"/>
      <c r="G77" s="3500"/>
      <c r="H77" s="3501"/>
      <c r="I77" s="3501"/>
      <c r="J77" s="3460"/>
      <c r="K77" s="3461"/>
      <c r="L77" s="3472" t="s">
        <v>3246</v>
      </c>
      <c r="M77" s="3493"/>
      <c r="N77" s="3493"/>
      <c r="O77" s="3494"/>
      <c r="P77" s="3450"/>
      <c r="R77" s="3429"/>
    </row>
    <row r="78" spans="1:18" s="3428" customFormat="1" ht="20.100000000000001" customHeight="1">
      <c r="A78" s="3495" t="s">
        <v>3247</v>
      </c>
      <c r="B78" s="3496" t="s">
        <v>3248</v>
      </c>
      <c r="C78" s="3455">
        <v>43070</v>
      </c>
      <c r="D78" s="3455">
        <v>44165</v>
      </c>
      <c r="E78" s="3455" t="s">
        <v>3249</v>
      </c>
      <c r="F78" s="3497" t="s">
        <v>3129</v>
      </c>
      <c r="G78" s="3498">
        <v>77537.600000000006</v>
      </c>
      <c r="H78" s="3424"/>
      <c r="I78" s="3424"/>
      <c r="J78" s="3460">
        <v>337.12</v>
      </c>
      <c r="K78" s="3461">
        <f>G78/J78</f>
        <v>230</v>
      </c>
      <c r="L78" s="3472" t="s">
        <v>3250</v>
      </c>
      <c r="M78" s="3482"/>
      <c r="N78" s="3375">
        <f>J78</f>
        <v>337.12</v>
      </c>
      <c r="O78" s="3364"/>
      <c r="P78" s="3427">
        <f>O79*J78</f>
        <v>0</v>
      </c>
      <c r="R78" s="3429"/>
    </row>
    <row r="79" spans="1:18" s="3428" customFormat="1" ht="20.100000000000001" customHeight="1">
      <c r="A79" s="3495"/>
      <c r="B79" s="3496"/>
      <c r="C79" s="3455"/>
      <c r="D79" s="3455"/>
      <c r="E79" s="3455"/>
      <c r="F79" s="3497"/>
      <c r="G79" s="3499"/>
      <c r="H79" s="3424"/>
      <c r="I79" s="3424"/>
      <c r="J79" s="3460"/>
      <c r="K79" s="3461"/>
      <c r="L79" s="3476" t="s">
        <v>3251</v>
      </c>
      <c r="M79" s="3452">
        <v>77537.600000000006</v>
      </c>
      <c r="N79" s="3452"/>
      <c r="O79" s="3480">
        <v>0</v>
      </c>
      <c r="P79" s="3440"/>
      <c r="R79" s="3429"/>
    </row>
    <row r="80" spans="1:18" s="3428" customFormat="1" ht="20.100000000000001" customHeight="1">
      <c r="A80" s="3495"/>
      <c r="B80" s="3496"/>
      <c r="C80" s="3455"/>
      <c r="D80" s="3455"/>
      <c r="E80" s="3455"/>
      <c r="F80" s="3497"/>
      <c r="G80" s="3500"/>
      <c r="H80" s="3501"/>
      <c r="I80" s="3501"/>
      <c r="J80" s="3460"/>
      <c r="K80" s="3461"/>
      <c r="L80" s="3472" t="s">
        <v>3252</v>
      </c>
      <c r="M80" s="3493"/>
      <c r="N80" s="3493"/>
      <c r="O80" s="3494"/>
      <c r="P80" s="3450"/>
      <c r="R80" s="3429"/>
    </row>
    <row r="81" spans="1:80" s="3428" customFormat="1" ht="20.100000000000001" customHeight="1">
      <c r="A81" s="3495" t="s">
        <v>3253</v>
      </c>
      <c r="B81" s="3496" t="s">
        <v>3254</v>
      </c>
      <c r="C81" s="3455">
        <v>43094</v>
      </c>
      <c r="D81" s="3455">
        <v>44189</v>
      </c>
      <c r="E81" s="3455" t="s">
        <v>3255</v>
      </c>
      <c r="F81" s="3497" t="s">
        <v>3129</v>
      </c>
      <c r="G81" s="3498">
        <v>62921.25</v>
      </c>
      <c r="H81" s="3424"/>
      <c r="I81" s="3424"/>
      <c r="J81" s="3460">
        <v>246.75</v>
      </c>
      <c r="K81" s="3502">
        <f>G81/J81</f>
        <v>255</v>
      </c>
      <c r="L81" s="3472" t="s">
        <v>3256</v>
      </c>
      <c r="M81" s="3482"/>
      <c r="N81" s="3375">
        <f>J81</f>
        <v>246.75</v>
      </c>
      <c r="O81" s="3364"/>
      <c r="P81" s="3427">
        <f>O82*J81</f>
        <v>0</v>
      </c>
      <c r="R81" s="3429"/>
    </row>
    <row r="82" spans="1:80" s="3428" customFormat="1" ht="20.100000000000001" customHeight="1">
      <c r="A82" s="3495"/>
      <c r="B82" s="3496"/>
      <c r="C82" s="3455"/>
      <c r="D82" s="3455"/>
      <c r="E82" s="3455"/>
      <c r="F82" s="3497"/>
      <c r="G82" s="3499"/>
      <c r="H82" s="3424"/>
      <c r="I82" s="3424"/>
      <c r="J82" s="3460"/>
      <c r="K82" s="3502"/>
      <c r="L82" s="3476" t="s">
        <v>3257</v>
      </c>
      <c r="M82" s="3452">
        <v>62921.25</v>
      </c>
      <c r="N82" s="3452"/>
      <c r="O82" s="3480">
        <v>0</v>
      </c>
      <c r="P82" s="3440"/>
      <c r="R82" s="3429"/>
    </row>
    <row r="83" spans="1:80" s="3428" customFormat="1" ht="20.100000000000001" customHeight="1">
      <c r="A83" s="3495"/>
      <c r="B83" s="3496"/>
      <c r="C83" s="3455"/>
      <c r="D83" s="3455"/>
      <c r="E83" s="3455"/>
      <c r="F83" s="3497"/>
      <c r="G83" s="3500"/>
      <c r="H83" s="3501"/>
      <c r="I83" s="3501"/>
      <c r="J83" s="3460"/>
      <c r="K83" s="3502"/>
      <c r="L83" s="3472" t="s">
        <v>3258</v>
      </c>
      <c r="M83" s="3493"/>
      <c r="N83" s="3493"/>
      <c r="O83" s="3494"/>
      <c r="P83" s="3450"/>
      <c r="R83" s="3429"/>
    </row>
    <row r="84" spans="1:80" s="3428" customFormat="1" ht="20.100000000000001" customHeight="1">
      <c r="A84" s="3495" t="s">
        <v>3259</v>
      </c>
      <c r="B84" s="3503" t="s">
        <v>3260</v>
      </c>
      <c r="C84" s="3455">
        <v>43279</v>
      </c>
      <c r="D84" s="3455">
        <v>44374</v>
      </c>
      <c r="E84" s="3455" t="s">
        <v>3261</v>
      </c>
      <c r="F84" s="3497" t="s">
        <v>3262</v>
      </c>
      <c r="G84" s="3460">
        <v>100792.15</v>
      </c>
      <c r="H84" s="3501"/>
      <c r="I84" s="3501"/>
      <c r="J84" s="3460">
        <v>499.28</v>
      </c>
      <c r="K84" s="3502">
        <f>G84/J84</f>
        <v>201.875</v>
      </c>
      <c r="L84" s="3476" t="s">
        <v>3263</v>
      </c>
      <c r="M84" s="3476">
        <v>100792.15</v>
      </c>
      <c r="N84" s="3375">
        <f>J84</f>
        <v>499.28</v>
      </c>
      <c r="O84" s="3364">
        <f>ROUND((127316.4-G84)/G84/3,2)</f>
        <v>0.09</v>
      </c>
      <c r="P84" s="3471">
        <f>O84*J84</f>
        <v>44.935199999999995</v>
      </c>
      <c r="R84" s="3429"/>
    </row>
    <row r="85" spans="1:80" s="3428" customFormat="1" ht="20.100000000000001" customHeight="1">
      <c r="A85" s="3495"/>
      <c r="B85" s="3503"/>
      <c r="C85" s="3455"/>
      <c r="D85" s="3455"/>
      <c r="E85" s="3455"/>
      <c r="F85" s="3497"/>
      <c r="G85" s="3460"/>
      <c r="H85" s="3501"/>
      <c r="I85" s="3501"/>
      <c r="J85" s="3460"/>
      <c r="K85" s="3502"/>
      <c r="L85" s="3472" t="s">
        <v>3264</v>
      </c>
      <c r="M85" s="3472"/>
      <c r="N85" s="3472"/>
      <c r="O85" s="3473"/>
      <c r="P85" s="3471"/>
      <c r="R85" s="3429"/>
    </row>
    <row r="86" spans="1:80" s="3428" customFormat="1" ht="20.100000000000001" customHeight="1">
      <c r="A86" s="3495"/>
      <c r="B86" s="3503"/>
      <c r="C86" s="3455"/>
      <c r="D86" s="3455"/>
      <c r="E86" s="3455"/>
      <c r="F86" s="3497"/>
      <c r="G86" s="3460"/>
      <c r="H86" s="3501"/>
      <c r="I86" s="3501"/>
      <c r="J86" s="3460"/>
      <c r="K86" s="3502"/>
      <c r="L86" s="3472" t="s">
        <v>3265</v>
      </c>
      <c r="M86" s="3472"/>
      <c r="N86" s="3472"/>
      <c r="O86" s="3473"/>
      <c r="P86" s="3471"/>
      <c r="R86" s="3429"/>
    </row>
    <row r="87" spans="1:80" s="3504" customFormat="1" ht="19.5" customHeight="1">
      <c r="A87" s="3495">
        <v>1102</v>
      </c>
      <c r="B87" s="3503" t="s">
        <v>3266</v>
      </c>
      <c r="C87" s="3455">
        <v>43313</v>
      </c>
      <c r="D87" s="3455">
        <v>45138</v>
      </c>
      <c r="E87" s="3455" t="s">
        <v>3267</v>
      </c>
      <c r="F87" s="3497" t="s">
        <v>3129</v>
      </c>
      <c r="G87" s="3460">
        <v>80890.429999999993</v>
      </c>
      <c r="H87" s="3501"/>
      <c r="I87" s="3501"/>
      <c r="J87" s="3460">
        <v>366.85</v>
      </c>
      <c r="K87" s="3502">
        <f>G87/J87</f>
        <v>220.50001362954882</v>
      </c>
      <c r="L87" s="3476" t="s">
        <v>3268</v>
      </c>
      <c r="M87" s="3476">
        <v>80890.429999999993</v>
      </c>
      <c r="N87" s="3375">
        <f>J87</f>
        <v>366.85</v>
      </c>
      <c r="O87" s="3364">
        <f>ROUND((101921.94-G87)/G87/5,2)</f>
        <v>0.05</v>
      </c>
      <c r="P87" s="3471">
        <f>O87*J87</f>
        <v>18.342500000000001</v>
      </c>
      <c r="R87" s="3505"/>
    </row>
    <row r="88" spans="1:80" s="3504" customFormat="1" ht="19.5" customHeight="1">
      <c r="A88" s="3495"/>
      <c r="B88" s="3503"/>
      <c r="C88" s="3455"/>
      <c r="D88" s="3455"/>
      <c r="E88" s="3455"/>
      <c r="F88" s="3497"/>
      <c r="G88" s="3460"/>
      <c r="H88" s="3501"/>
      <c r="I88" s="3501"/>
      <c r="J88" s="3460"/>
      <c r="K88" s="3502"/>
      <c r="L88" s="3472" t="s">
        <v>3269</v>
      </c>
      <c r="M88" s="3472"/>
      <c r="N88" s="3472"/>
      <c r="O88" s="3473"/>
      <c r="P88" s="3471"/>
      <c r="R88" s="3505"/>
    </row>
    <row r="89" spans="1:80" s="3504" customFormat="1" ht="19.5" customHeight="1">
      <c r="A89" s="3495"/>
      <c r="B89" s="3503"/>
      <c r="C89" s="3455"/>
      <c r="D89" s="3455"/>
      <c r="E89" s="3455"/>
      <c r="F89" s="3497"/>
      <c r="G89" s="3460"/>
      <c r="H89" s="3501"/>
      <c r="I89" s="3501"/>
      <c r="J89" s="3460"/>
      <c r="K89" s="3502"/>
      <c r="L89" s="3472" t="s">
        <v>3270</v>
      </c>
      <c r="M89" s="3472"/>
      <c r="N89" s="3472"/>
      <c r="O89" s="3473"/>
      <c r="P89" s="3471"/>
      <c r="R89" s="3505"/>
    </row>
    <row r="90" spans="1:80" s="3504" customFormat="1" ht="19.5" customHeight="1">
      <c r="A90" s="3495"/>
      <c r="B90" s="3503"/>
      <c r="C90" s="3455"/>
      <c r="D90" s="3455"/>
      <c r="E90" s="3455"/>
      <c r="F90" s="3497"/>
      <c r="G90" s="3460"/>
      <c r="H90" s="3506"/>
      <c r="I90" s="3506"/>
      <c r="J90" s="3460"/>
      <c r="K90" s="3502"/>
      <c r="L90" s="3472" t="s">
        <v>3271</v>
      </c>
      <c r="M90" s="3472"/>
      <c r="N90" s="3472"/>
      <c r="O90" s="3473"/>
      <c r="P90" s="3471"/>
      <c r="Q90" s="3428"/>
      <c r="R90" s="3428"/>
      <c r="S90" s="3428"/>
      <c r="T90" s="3428"/>
      <c r="U90" s="3428"/>
      <c r="V90" s="3428"/>
      <c r="W90" s="3428"/>
      <c r="X90" s="3428"/>
      <c r="Y90" s="3428"/>
      <c r="Z90" s="3428"/>
      <c r="AA90" s="3428"/>
      <c r="AB90" s="3428"/>
      <c r="AC90" s="3428"/>
      <c r="AD90" s="3428"/>
      <c r="AE90" s="3428"/>
      <c r="AF90" s="3428"/>
      <c r="AG90" s="3428"/>
      <c r="AH90" s="3428"/>
      <c r="AI90" s="3428"/>
      <c r="AJ90" s="3428"/>
      <c r="AK90" s="3428"/>
      <c r="AL90" s="3428"/>
      <c r="AM90" s="3428"/>
      <c r="AN90" s="3428"/>
      <c r="AO90" s="3428"/>
      <c r="AP90" s="3428"/>
      <c r="AQ90" s="3428"/>
      <c r="AR90" s="3428"/>
      <c r="AS90" s="3428"/>
      <c r="AT90" s="3428"/>
      <c r="AU90" s="3428"/>
      <c r="AV90" s="3428"/>
      <c r="AW90" s="3428"/>
      <c r="AX90" s="3428"/>
      <c r="AY90" s="3428"/>
      <c r="AZ90" s="3428"/>
      <c r="BA90" s="3428"/>
      <c r="BB90" s="3428"/>
      <c r="BC90" s="3428"/>
      <c r="BD90" s="3428"/>
      <c r="BE90" s="3428"/>
      <c r="BF90" s="3428"/>
      <c r="BG90" s="3428"/>
      <c r="BH90" s="3428"/>
      <c r="BI90" s="3428"/>
      <c r="BJ90" s="3428"/>
      <c r="BK90" s="3428"/>
      <c r="BL90" s="3428"/>
      <c r="BM90" s="3428"/>
      <c r="BN90" s="3428"/>
      <c r="BO90" s="3428"/>
      <c r="BP90" s="3428"/>
      <c r="BQ90" s="3428"/>
      <c r="BR90" s="3428"/>
      <c r="BS90" s="3428"/>
      <c r="BT90" s="3428"/>
      <c r="BU90" s="3428"/>
      <c r="BV90" s="3428"/>
      <c r="BW90" s="3428"/>
      <c r="BX90" s="3428"/>
      <c r="BY90" s="3428"/>
      <c r="BZ90" s="3428"/>
      <c r="CA90" s="3428"/>
      <c r="CB90" s="3428"/>
    </row>
    <row r="91" spans="1:80" s="3504" customFormat="1" ht="19.5" customHeight="1">
      <c r="A91" s="3495"/>
      <c r="B91" s="3503"/>
      <c r="C91" s="3455"/>
      <c r="D91" s="3455"/>
      <c r="E91" s="3455"/>
      <c r="F91" s="3497"/>
      <c r="G91" s="3460"/>
      <c r="H91" s="3506"/>
      <c r="I91" s="3506"/>
      <c r="J91" s="3460"/>
      <c r="K91" s="3502"/>
      <c r="L91" s="3472" t="s">
        <v>3272</v>
      </c>
      <c r="M91" s="3472"/>
      <c r="N91" s="3472"/>
      <c r="O91" s="3473"/>
      <c r="P91" s="3471"/>
      <c r="Q91" s="3428"/>
      <c r="R91" s="3428"/>
      <c r="S91" s="3428"/>
      <c r="T91" s="3428"/>
      <c r="U91" s="3428"/>
      <c r="V91" s="3428"/>
      <c r="W91" s="3428"/>
      <c r="X91" s="3428"/>
      <c r="Y91" s="3428"/>
      <c r="Z91" s="3428"/>
      <c r="AA91" s="3428"/>
      <c r="AB91" s="3428"/>
      <c r="AC91" s="3428"/>
      <c r="AD91" s="3428"/>
      <c r="AE91" s="3428"/>
      <c r="AF91" s="3428"/>
      <c r="AG91" s="3428"/>
      <c r="AH91" s="3428"/>
      <c r="AI91" s="3428"/>
      <c r="AJ91" s="3428"/>
      <c r="AK91" s="3428"/>
      <c r="AL91" s="3428"/>
      <c r="AM91" s="3428"/>
      <c r="AN91" s="3428"/>
      <c r="AO91" s="3428"/>
      <c r="AP91" s="3428"/>
      <c r="AQ91" s="3428"/>
      <c r="AR91" s="3428"/>
      <c r="AS91" s="3428"/>
      <c r="AT91" s="3428"/>
      <c r="AU91" s="3428"/>
      <c r="AV91" s="3428"/>
      <c r="AW91" s="3428"/>
      <c r="AX91" s="3428"/>
      <c r="AY91" s="3428"/>
      <c r="AZ91" s="3428"/>
      <c r="BA91" s="3428"/>
      <c r="BB91" s="3428"/>
      <c r="BC91" s="3428"/>
      <c r="BD91" s="3428"/>
      <c r="BE91" s="3428"/>
      <c r="BF91" s="3428"/>
      <c r="BG91" s="3428"/>
      <c r="BH91" s="3428"/>
      <c r="BI91" s="3428"/>
      <c r="BJ91" s="3428"/>
      <c r="BK91" s="3428"/>
      <c r="BL91" s="3428"/>
      <c r="BM91" s="3428"/>
      <c r="BN91" s="3428"/>
      <c r="BO91" s="3428"/>
      <c r="BP91" s="3428"/>
      <c r="BQ91" s="3428"/>
      <c r="BR91" s="3428"/>
      <c r="BS91" s="3428"/>
      <c r="BT91" s="3428"/>
      <c r="BU91" s="3428"/>
      <c r="BV91" s="3428"/>
      <c r="BW91" s="3428"/>
      <c r="BX91" s="3428"/>
      <c r="BY91" s="3428"/>
      <c r="BZ91" s="3428"/>
      <c r="CA91" s="3428"/>
      <c r="CB91" s="3428"/>
    </row>
    <row r="92" spans="1:80" s="3504" customFormat="1" ht="19.5" customHeight="1">
      <c r="A92" s="3495" t="s">
        <v>3273</v>
      </c>
      <c r="B92" s="3503" t="s">
        <v>3274</v>
      </c>
      <c r="C92" s="3455">
        <v>43322</v>
      </c>
      <c r="D92" s="3455">
        <v>44417</v>
      </c>
      <c r="E92" s="3455" t="s">
        <v>3275</v>
      </c>
      <c r="F92" s="3497" t="s">
        <v>3129</v>
      </c>
      <c r="G92" s="3460">
        <v>80469.37</v>
      </c>
      <c r="H92" s="3501"/>
      <c r="I92" s="3501"/>
      <c r="J92" s="3460">
        <v>387.96</v>
      </c>
      <c r="K92" s="3502">
        <f>G92/J92</f>
        <v>207.41666666666666</v>
      </c>
      <c r="L92" s="3476" t="s">
        <v>3276</v>
      </c>
      <c r="M92" s="3476">
        <v>80469.37</v>
      </c>
      <c r="N92" s="3375">
        <f>J92</f>
        <v>387.96</v>
      </c>
      <c r="O92" s="3364">
        <f>ROUND((101645.52-G92)/G92/3,2)</f>
        <v>0.09</v>
      </c>
      <c r="P92" s="3471">
        <f>O92*J92</f>
        <v>34.916399999999996</v>
      </c>
      <c r="Q92" s="3428"/>
      <c r="R92" s="3428"/>
      <c r="S92" s="3428"/>
      <c r="T92" s="3428"/>
      <c r="U92" s="3428"/>
      <c r="V92" s="3428"/>
      <c r="W92" s="3428"/>
      <c r="X92" s="3428"/>
      <c r="Y92" s="3428"/>
      <c r="Z92" s="3428"/>
      <c r="AA92" s="3428"/>
      <c r="AB92" s="3428"/>
      <c r="AC92" s="3428"/>
      <c r="AD92" s="3428"/>
      <c r="AE92" s="3428"/>
      <c r="AF92" s="3428"/>
      <c r="AG92" s="3428"/>
      <c r="AH92" s="3428"/>
      <c r="AI92" s="3428"/>
      <c r="AJ92" s="3428"/>
      <c r="AK92" s="3428"/>
      <c r="AL92" s="3428"/>
      <c r="AM92" s="3428"/>
      <c r="AN92" s="3428"/>
      <c r="AO92" s="3428"/>
      <c r="AP92" s="3428"/>
      <c r="AQ92" s="3428"/>
      <c r="AR92" s="3428"/>
      <c r="AS92" s="3428"/>
      <c r="AT92" s="3428"/>
      <c r="AU92" s="3428"/>
      <c r="AV92" s="3428"/>
      <c r="AW92" s="3428"/>
      <c r="AX92" s="3428"/>
      <c r="AY92" s="3428"/>
      <c r="AZ92" s="3428"/>
      <c r="BA92" s="3428"/>
      <c r="BB92" s="3428"/>
      <c r="BC92" s="3428"/>
      <c r="BD92" s="3428"/>
      <c r="BE92" s="3428"/>
      <c r="BF92" s="3428"/>
      <c r="BG92" s="3428"/>
      <c r="BH92" s="3428"/>
      <c r="BI92" s="3428"/>
      <c r="BJ92" s="3428"/>
      <c r="BK92" s="3428"/>
      <c r="BL92" s="3428"/>
      <c r="BM92" s="3428"/>
      <c r="BN92" s="3428"/>
      <c r="BO92" s="3428"/>
      <c r="BP92" s="3428"/>
      <c r="BQ92" s="3428"/>
      <c r="BR92" s="3428"/>
      <c r="BS92" s="3428"/>
      <c r="BT92" s="3428"/>
      <c r="BU92" s="3428"/>
      <c r="BV92" s="3428"/>
      <c r="BW92" s="3428"/>
      <c r="BX92" s="3428"/>
      <c r="BY92" s="3428"/>
      <c r="BZ92" s="3428"/>
      <c r="CA92" s="3428"/>
      <c r="CB92" s="3428"/>
    </row>
    <row r="93" spans="1:80" s="3504" customFormat="1" ht="19.5" customHeight="1">
      <c r="A93" s="3495"/>
      <c r="B93" s="3503"/>
      <c r="C93" s="3455"/>
      <c r="D93" s="3455"/>
      <c r="E93" s="3455"/>
      <c r="F93" s="3497"/>
      <c r="G93" s="3460"/>
      <c r="H93" s="3501"/>
      <c r="I93" s="3501"/>
      <c r="J93" s="3460"/>
      <c r="K93" s="3502"/>
      <c r="L93" s="3472" t="s">
        <v>3277</v>
      </c>
      <c r="M93" s="3472"/>
      <c r="N93" s="3472"/>
      <c r="O93" s="3473"/>
      <c r="P93" s="3471"/>
      <c r="Q93" s="3428"/>
      <c r="R93" s="3428"/>
      <c r="S93" s="3428"/>
      <c r="T93" s="3428"/>
      <c r="U93" s="3428"/>
      <c r="V93" s="3428"/>
      <c r="W93" s="3428"/>
      <c r="X93" s="3428"/>
      <c r="Y93" s="3428"/>
      <c r="Z93" s="3428"/>
      <c r="AA93" s="3428"/>
      <c r="AB93" s="3428"/>
      <c r="AC93" s="3428"/>
      <c r="AD93" s="3428"/>
      <c r="AE93" s="3428"/>
      <c r="AF93" s="3428"/>
      <c r="AG93" s="3428"/>
      <c r="AH93" s="3428"/>
      <c r="AI93" s="3428"/>
      <c r="AJ93" s="3428"/>
      <c r="AK93" s="3428"/>
      <c r="AL93" s="3428"/>
      <c r="AM93" s="3428"/>
      <c r="AN93" s="3428"/>
      <c r="AO93" s="3428"/>
      <c r="AP93" s="3428"/>
      <c r="AQ93" s="3428"/>
      <c r="AR93" s="3428"/>
      <c r="AS93" s="3428"/>
      <c r="AT93" s="3428"/>
      <c r="AU93" s="3428"/>
      <c r="AV93" s="3428"/>
      <c r="AW93" s="3428"/>
      <c r="AX93" s="3428"/>
      <c r="AY93" s="3428"/>
      <c r="AZ93" s="3428"/>
      <c r="BA93" s="3428"/>
      <c r="BB93" s="3428"/>
      <c r="BC93" s="3428"/>
      <c r="BD93" s="3428"/>
      <c r="BE93" s="3428"/>
      <c r="BF93" s="3428"/>
      <c r="BG93" s="3428"/>
      <c r="BH93" s="3428"/>
      <c r="BI93" s="3428"/>
      <c r="BJ93" s="3428"/>
      <c r="BK93" s="3428"/>
      <c r="BL93" s="3428"/>
      <c r="BM93" s="3428"/>
      <c r="BN93" s="3428"/>
      <c r="BO93" s="3428"/>
      <c r="BP93" s="3428"/>
      <c r="BQ93" s="3428"/>
      <c r="BR93" s="3428"/>
      <c r="BS93" s="3428"/>
      <c r="BT93" s="3428"/>
      <c r="BU93" s="3428"/>
      <c r="BV93" s="3428"/>
      <c r="BW93" s="3428"/>
      <c r="BX93" s="3428"/>
      <c r="BY93" s="3428"/>
      <c r="BZ93" s="3428"/>
      <c r="CA93" s="3428"/>
      <c r="CB93" s="3428"/>
    </row>
    <row r="94" spans="1:80" s="3504" customFormat="1" ht="19.5" customHeight="1">
      <c r="A94" s="3495"/>
      <c r="B94" s="3503"/>
      <c r="C94" s="3455"/>
      <c r="D94" s="3455"/>
      <c r="E94" s="3455"/>
      <c r="F94" s="3497"/>
      <c r="G94" s="3460"/>
      <c r="H94" s="3507"/>
      <c r="I94" s="3507"/>
      <c r="J94" s="3460"/>
      <c r="K94" s="3502"/>
      <c r="L94" s="3482" t="s">
        <v>3278</v>
      </c>
      <c r="M94" s="3482"/>
      <c r="N94" s="3482"/>
      <c r="O94" s="3508"/>
      <c r="P94" s="3471"/>
      <c r="Q94" s="3428"/>
      <c r="R94" s="3428"/>
      <c r="S94" s="3428"/>
      <c r="T94" s="3428"/>
      <c r="U94" s="3428"/>
      <c r="V94" s="3428"/>
      <c r="W94" s="3428"/>
      <c r="X94" s="3428"/>
      <c r="Y94" s="3428"/>
      <c r="Z94" s="3428"/>
      <c r="AA94" s="3428"/>
      <c r="AB94" s="3428"/>
      <c r="AC94" s="3428"/>
      <c r="AD94" s="3428"/>
      <c r="AE94" s="3428"/>
      <c r="AF94" s="3428"/>
      <c r="AG94" s="3428"/>
      <c r="AH94" s="3428"/>
      <c r="AI94" s="3428"/>
      <c r="AJ94" s="3428"/>
      <c r="AK94" s="3428"/>
      <c r="AL94" s="3428"/>
      <c r="AM94" s="3428"/>
      <c r="AN94" s="3428"/>
      <c r="AO94" s="3428"/>
      <c r="AP94" s="3428"/>
      <c r="AQ94" s="3428"/>
      <c r="AR94" s="3428"/>
      <c r="AS94" s="3428"/>
      <c r="AT94" s="3428"/>
      <c r="AU94" s="3428"/>
      <c r="AV94" s="3428"/>
      <c r="AW94" s="3428"/>
      <c r="AX94" s="3428"/>
      <c r="AY94" s="3428"/>
      <c r="AZ94" s="3428"/>
      <c r="BA94" s="3428"/>
      <c r="BB94" s="3428"/>
      <c r="BC94" s="3428"/>
      <c r="BD94" s="3428"/>
      <c r="BE94" s="3428"/>
      <c r="BF94" s="3428"/>
      <c r="BG94" s="3428"/>
      <c r="BH94" s="3428"/>
      <c r="BI94" s="3428"/>
      <c r="BJ94" s="3428"/>
      <c r="BK94" s="3428"/>
      <c r="BL94" s="3428"/>
      <c r="BM94" s="3428"/>
      <c r="BN94" s="3428"/>
      <c r="BO94" s="3428"/>
      <c r="BP94" s="3428"/>
      <c r="BQ94" s="3428"/>
      <c r="BR94" s="3428"/>
      <c r="BS94" s="3428"/>
      <c r="BT94" s="3428"/>
      <c r="BU94" s="3428"/>
      <c r="BV94" s="3428"/>
      <c r="BW94" s="3428"/>
      <c r="BX94" s="3428"/>
      <c r="BY94" s="3428"/>
      <c r="BZ94" s="3428"/>
      <c r="CA94" s="3428"/>
      <c r="CB94" s="3428"/>
    </row>
    <row r="95" spans="1:80" s="3512" customFormat="1" ht="20.100000000000001" customHeight="1">
      <c r="A95" s="3509">
        <v>1704</v>
      </c>
      <c r="B95" s="3510" t="s">
        <v>3279</v>
      </c>
      <c r="C95" s="3455">
        <v>43320</v>
      </c>
      <c r="D95" s="3455">
        <v>44415</v>
      </c>
      <c r="E95" s="3455" t="s">
        <v>3280</v>
      </c>
      <c r="F95" s="3510" t="s">
        <v>3129</v>
      </c>
      <c r="G95" s="3460">
        <v>71151.33</v>
      </c>
      <c r="H95" s="3511"/>
      <c r="I95" s="3511"/>
      <c r="J95" s="3460">
        <v>337.41</v>
      </c>
      <c r="K95" s="3502">
        <f>G95/J95</f>
        <v>210.87498888592512</v>
      </c>
      <c r="L95" s="3476" t="s">
        <v>3281</v>
      </c>
      <c r="M95" s="3476">
        <v>71151.33</v>
      </c>
      <c r="N95" s="3375">
        <f>J95</f>
        <v>337.41</v>
      </c>
      <c r="O95" s="3364">
        <f>ROUND((81315.81-G95)/G95/3,2)</f>
        <v>0.05</v>
      </c>
      <c r="P95" s="3471">
        <f>O95*J95</f>
        <v>16.870500000000003</v>
      </c>
      <c r="Q95" s="3428"/>
      <c r="R95" s="3428"/>
      <c r="S95" s="3428"/>
      <c r="T95" s="3428"/>
      <c r="U95" s="3428"/>
      <c r="V95" s="3428"/>
      <c r="W95" s="3428"/>
      <c r="X95" s="3428"/>
      <c r="Y95" s="3428"/>
      <c r="Z95" s="3428"/>
      <c r="AA95" s="3428"/>
      <c r="AB95" s="3428"/>
      <c r="AC95" s="3428"/>
      <c r="AD95" s="3428"/>
      <c r="AE95" s="3428"/>
      <c r="AF95" s="3428"/>
      <c r="AG95" s="3428"/>
      <c r="AH95" s="3428"/>
      <c r="AI95" s="3428"/>
      <c r="AJ95" s="3428"/>
      <c r="AK95" s="3428"/>
      <c r="AL95" s="3428"/>
      <c r="AM95" s="3428"/>
      <c r="AN95" s="3428"/>
      <c r="AO95" s="3428"/>
      <c r="AP95" s="3428"/>
      <c r="AQ95" s="3428"/>
      <c r="AR95" s="3428"/>
      <c r="AS95" s="3428"/>
      <c r="AT95" s="3428"/>
      <c r="AU95" s="3428"/>
      <c r="AV95" s="3428"/>
      <c r="AW95" s="3428"/>
      <c r="AX95" s="3428"/>
      <c r="AY95" s="3428"/>
      <c r="AZ95" s="3428"/>
      <c r="BA95" s="3428"/>
      <c r="BB95" s="3428"/>
      <c r="BC95" s="3428"/>
      <c r="BD95" s="3428"/>
      <c r="BE95" s="3428"/>
      <c r="BF95" s="3428"/>
      <c r="BG95" s="3428"/>
      <c r="BH95" s="3428"/>
      <c r="BI95" s="3428"/>
      <c r="BJ95" s="3428"/>
      <c r="BK95" s="3428"/>
      <c r="BL95" s="3428"/>
      <c r="BM95" s="3428"/>
      <c r="BN95" s="3428"/>
      <c r="BO95" s="3428"/>
      <c r="BP95" s="3428"/>
      <c r="BQ95" s="3428"/>
      <c r="BR95" s="3428"/>
      <c r="BS95" s="3428"/>
      <c r="BT95" s="3428"/>
      <c r="BU95" s="3428"/>
      <c r="BV95" s="3428"/>
      <c r="BW95" s="3428"/>
      <c r="BX95" s="3428"/>
      <c r="BY95" s="3428"/>
      <c r="BZ95" s="3428"/>
      <c r="CA95" s="3428"/>
      <c r="CB95" s="3428"/>
    </row>
    <row r="96" spans="1:80" s="3512" customFormat="1" ht="20.100000000000001" customHeight="1">
      <c r="A96" s="3509"/>
      <c r="B96" s="3510"/>
      <c r="C96" s="3455"/>
      <c r="D96" s="3455"/>
      <c r="E96" s="3455"/>
      <c r="F96" s="3510"/>
      <c r="G96" s="3460"/>
      <c r="H96" s="3511"/>
      <c r="I96" s="3511"/>
      <c r="J96" s="3460"/>
      <c r="K96" s="3502"/>
      <c r="L96" s="3472" t="s">
        <v>3282</v>
      </c>
      <c r="M96" s="3472"/>
      <c r="N96" s="3472"/>
      <c r="O96" s="3473"/>
      <c r="P96" s="3471"/>
      <c r="Q96" s="3428"/>
      <c r="R96" s="3428"/>
      <c r="S96" s="3428"/>
      <c r="T96" s="3428"/>
      <c r="U96" s="3428"/>
      <c r="V96" s="3428"/>
      <c r="W96" s="3428"/>
      <c r="X96" s="3428"/>
      <c r="Y96" s="3428"/>
      <c r="Z96" s="3428"/>
      <c r="AA96" s="3428"/>
      <c r="AB96" s="3428"/>
      <c r="AC96" s="3428"/>
      <c r="AD96" s="3428"/>
      <c r="AE96" s="3428"/>
      <c r="AF96" s="3428"/>
      <c r="AG96" s="3428"/>
      <c r="AH96" s="3428"/>
      <c r="AI96" s="3428"/>
      <c r="AJ96" s="3428"/>
      <c r="AK96" s="3428"/>
      <c r="AL96" s="3428"/>
      <c r="AM96" s="3428"/>
      <c r="AN96" s="3428"/>
      <c r="AO96" s="3428"/>
      <c r="AP96" s="3428"/>
      <c r="AQ96" s="3428"/>
      <c r="AR96" s="3428"/>
      <c r="AS96" s="3428"/>
      <c r="AT96" s="3428"/>
      <c r="AU96" s="3428"/>
      <c r="AV96" s="3428"/>
      <c r="AW96" s="3428"/>
      <c r="AX96" s="3428"/>
      <c r="AY96" s="3428"/>
      <c r="AZ96" s="3428"/>
      <c r="BA96" s="3428"/>
      <c r="BB96" s="3428"/>
      <c r="BC96" s="3428"/>
      <c r="BD96" s="3428"/>
      <c r="BE96" s="3428"/>
      <c r="BF96" s="3428"/>
      <c r="BG96" s="3428"/>
      <c r="BH96" s="3428"/>
      <c r="BI96" s="3428"/>
      <c r="BJ96" s="3428"/>
      <c r="BK96" s="3428"/>
      <c r="BL96" s="3428"/>
      <c r="BM96" s="3428"/>
      <c r="BN96" s="3428"/>
      <c r="BO96" s="3428"/>
      <c r="BP96" s="3428"/>
      <c r="BQ96" s="3428"/>
      <c r="BR96" s="3428"/>
      <c r="BS96" s="3428"/>
      <c r="BT96" s="3428"/>
      <c r="BU96" s="3428"/>
      <c r="BV96" s="3428"/>
      <c r="BW96" s="3428"/>
      <c r="BX96" s="3428"/>
      <c r="BY96" s="3428"/>
      <c r="BZ96" s="3428"/>
      <c r="CA96" s="3428"/>
      <c r="CB96" s="3428"/>
    </row>
    <row r="97" spans="1:80" s="3512" customFormat="1" ht="20.100000000000001" customHeight="1">
      <c r="A97" s="3509"/>
      <c r="B97" s="3510"/>
      <c r="C97" s="3455"/>
      <c r="D97" s="3455"/>
      <c r="E97" s="3455"/>
      <c r="F97" s="3510"/>
      <c r="G97" s="3460"/>
      <c r="H97" s="3511"/>
      <c r="I97" s="3511"/>
      <c r="J97" s="3460"/>
      <c r="K97" s="3502"/>
      <c r="L97" s="3472" t="s">
        <v>3283</v>
      </c>
      <c r="M97" s="3472"/>
      <c r="N97" s="3472"/>
      <c r="O97" s="3473"/>
      <c r="P97" s="3471"/>
      <c r="Q97" s="3428"/>
      <c r="R97" s="3428"/>
      <c r="S97" s="3428"/>
      <c r="T97" s="3428"/>
      <c r="U97" s="3428"/>
      <c r="V97" s="3428"/>
      <c r="W97" s="3428"/>
      <c r="X97" s="3428"/>
      <c r="Y97" s="3428"/>
      <c r="Z97" s="3428"/>
      <c r="AA97" s="3428"/>
      <c r="AB97" s="3428"/>
      <c r="AC97" s="3428"/>
      <c r="AD97" s="3428"/>
      <c r="AE97" s="3428"/>
      <c r="AF97" s="3428"/>
      <c r="AG97" s="3428"/>
      <c r="AH97" s="3428"/>
      <c r="AI97" s="3428"/>
      <c r="AJ97" s="3428"/>
      <c r="AK97" s="3428"/>
      <c r="AL97" s="3428"/>
      <c r="AM97" s="3428"/>
      <c r="AN97" s="3428"/>
      <c r="AO97" s="3428"/>
      <c r="AP97" s="3428"/>
      <c r="AQ97" s="3428"/>
      <c r="AR97" s="3428"/>
      <c r="AS97" s="3428"/>
      <c r="AT97" s="3428"/>
      <c r="AU97" s="3428"/>
      <c r="AV97" s="3428"/>
      <c r="AW97" s="3428"/>
      <c r="AX97" s="3428"/>
      <c r="AY97" s="3428"/>
      <c r="AZ97" s="3428"/>
      <c r="BA97" s="3428"/>
      <c r="BB97" s="3428"/>
      <c r="BC97" s="3428"/>
      <c r="BD97" s="3428"/>
      <c r="BE97" s="3428"/>
      <c r="BF97" s="3428"/>
      <c r="BG97" s="3428"/>
      <c r="BH97" s="3428"/>
      <c r="BI97" s="3428"/>
      <c r="BJ97" s="3428"/>
      <c r="BK97" s="3428"/>
      <c r="BL97" s="3428"/>
      <c r="BM97" s="3428"/>
      <c r="BN97" s="3428"/>
      <c r="BO97" s="3428"/>
      <c r="BP97" s="3428"/>
      <c r="BQ97" s="3428"/>
      <c r="BR97" s="3428"/>
      <c r="BS97" s="3428"/>
      <c r="BT97" s="3428"/>
      <c r="BU97" s="3428"/>
      <c r="BV97" s="3428"/>
      <c r="BW97" s="3428"/>
      <c r="BX97" s="3428"/>
      <c r="BY97" s="3428"/>
      <c r="BZ97" s="3428"/>
      <c r="CA97" s="3428"/>
      <c r="CB97" s="3428"/>
    </row>
    <row r="98" spans="1:80" s="3516" customFormat="1" ht="20.100000000000001" customHeight="1">
      <c r="A98" s="3513">
        <v>1703</v>
      </c>
      <c r="B98" s="3514" t="s">
        <v>3284</v>
      </c>
      <c r="C98" s="3420">
        <v>43464</v>
      </c>
      <c r="D98" s="3361">
        <v>45289</v>
      </c>
      <c r="E98" s="3420" t="s">
        <v>3285</v>
      </c>
      <c r="F98" s="3514" t="s">
        <v>3286</v>
      </c>
      <c r="G98" s="3425">
        <v>140129.79</v>
      </c>
      <c r="H98" s="3511"/>
      <c r="I98" s="3511"/>
      <c r="J98" s="3425">
        <v>686.35</v>
      </c>
      <c r="K98" s="3515">
        <v>204.17</v>
      </c>
      <c r="L98" s="3476" t="s">
        <v>3287</v>
      </c>
      <c r="M98" s="3479">
        <v>140129.79</v>
      </c>
      <c r="N98" s="3375">
        <f>J98</f>
        <v>686.35</v>
      </c>
      <c r="O98" s="3364">
        <f>ROUND((185390-G98)/G98/5,2)</f>
        <v>0.06</v>
      </c>
      <c r="P98" s="3427">
        <f>O98*J98</f>
        <v>41.180999999999997</v>
      </c>
      <c r="Q98" s="3428"/>
      <c r="R98" s="3428"/>
      <c r="S98" s="3428"/>
      <c r="T98" s="3428"/>
      <c r="U98" s="3428"/>
      <c r="V98" s="3428"/>
      <c r="W98" s="3428"/>
      <c r="X98" s="3428"/>
      <c r="Y98" s="3428"/>
      <c r="Z98" s="3428"/>
      <c r="AA98" s="3428"/>
      <c r="AB98" s="3428"/>
      <c r="AC98" s="3428"/>
      <c r="AD98" s="3428"/>
      <c r="AE98" s="3428"/>
      <c r="AF98" s="3428"/>
      <c r="AG98" s="3428"/>
      <c r="AH98" s="3428"/>
      <c r="AI98" s="3428"/>
      <c r="AJ98" s="3428"/>
      <c r="AK98" s="3428"/>
      <c r="AL98" s="3428"/>
      <c r="AM98" s="3428"/>
      <c r="AN98" s="3428"/>
      <c r="AO98" s="3428"/>
      <c r="AP98" s="3428"/>
      <c r="AQ98" s="3428"/>
      <c r="AR98" s="3428"/>
      <c r="AS98" s="3428"/>
      <c r="AT98" s="3428"/>
      <c r="AU98" s="3428"/>
      <c r="AV98" s="3428"/>
      <c r="AW98" s="3428"/>
      <c r="AX98" s="3428"/>
      <c r="AY98" s="3428"/>
      <c r="AZ98" s="3428"/>
      <c r="BA98" s="3428"/>
      <c r="BB98" s="3428"/>
      <c r="BC98" s="3428"/>
      <c r="BD98" s="3428"/>
      <c r="BE98" s="3428"/>
      <c r="BF98" s="3428"/>
      <c r="BG98" s="3428"/>
      <c r="BH98" s="3428"/>
      <c r="BI98" s="3428"/>
      <c r="BJ98" s="3428"/>
      <c r="BK98" s="3428"/>
      <c r="BL98" s="3428"/>
      <c r="BM98" s="3428"/>
      <c r="BN98" s="3428"/>
      <c r="BO98" s="3428"/>
      <c r="BP98" s="3428"/>
      <c r="BQ98" s="3428"/>
      <c r="BR98" s="3428"/>
      <c r="BS98" s="3428"/>
      <c r="BT98" s="3428"/>
      <c r="BU98" s="3428"/>
      <c r="BV98" s="3428"/>
      <c r="BW98" s="3428"/>
      <c r="BX98" s="3428"/>
      <c r="BY98" s="3428"/>
      <c r="BZ98" s="3428"/>
      <c r="CA98" s="3428"/>
      <c r="CB98" s="3428"/>
    </row>
    <row r="99" spans="1:80" s="3516" customFormat="1" ht="20.100000000000001" customHeight="1">
      <c r="A99" s="3517"/>
      <c r="B99" s="3518"/>
      <c r="C99" s="3432"/>
      <c r="D99" s="3362"/>
      <c r="E99" s="3432"/>
      <c r="F99" s="3518"/>
      <c r="G99" s="3436"/>
      <c r="H99" s="3511"/>
      <c r="I99" s="3511"/>
      <c r="J99" s="3436"/>
      <c r="K99" s="3519"/>
      <c r="L99" s="3472" t="s">
        <v>3288</v>
      </c>
      <c r="M99" s="3491"/>
      <c r="N99" s="3491"/>
      <c r="O99" s="3492"/>
      <c r="P99" s="3440"/>
      <c r="Q99" s="3428"/>
      <c r="R99" s="3428"/>
      <c r="S99" s="3428"/>
      <c r="T99" s="3428"/>
      <c r="U99" s="3428"/>
      <c r="V99" s="3428"/>
      <c r="W99" s="3428"/>
      <c r="X99" s="3428"/>
      <c r="Y99" s="3428"/>
      <c r="Z99" s="3428"/>
      <c r="AA99" s="3428"/>
      <c r="AB99" s="3428"/>
      <c r="AC99" s="3428"/>
      <c r="AD99" s="3428"/>
      <c r="AE99" s="3428"/>
      <c r="AF99" s="3428"/>
      <c r="AG99" s="3428"/>
      <c r="AH99" s="3428"/>
      <c r="AI99" s="3428"/>
      <c r="AJ99" s="3428"/>
      <c r="AK99" s="3428"/>
      <c r="AL99" s="3428"/>
      <c r="AM99" s="3428"/>
      <c r="AN99" s="3428"/>
      <c r="AO99" s="3428"/>
      <c r="AP99" s="3428"/>
      <c r="AQ99" s="3428"/>
      <c r="AR99" s="3428"/>
      <c r="AS99" s="3428"/>
      <c r="AT99" s="3428"/>
      <c r="AU99" s="3428"/>
      <c r="AV99" s="3428"/>
      <c r="AW99" s="3428"/>
      <c r="AX99" s="3428"/>
      <c r="AY99" s="3428"/>
      <c r="AZ99" s="3428"/>
      <c r="BA99" s="3428"/>
      <c r="BB99" s="3428"/>
      <c r="BC99" s="3428"/>
      <c r="BD99" s="3428"/>
      <c r="BE99" s="3428"/>
      <c r="BF99" s="3428"/>
      <c r="BG99" s="3428"/>
      <c r="BH99" s="3428"/>
      <c r="BI99" s="3428"/>
      <c r="BJ99" s="3428"/>
      <c r="BK99" s="3428"/>
      <c r="BL99" s="3428"/>
      <c r="BM99" s="3428"/>
      <c r="BN99" s="3428"/>
      <c r="BO99" s="3428"/>
      <c r="BP99" s="3428"/>
      <c r="BQ99" s="3428"/>
      <c r="BR99" s="3428"/>
      <c r="BS99" s="3428"/>
      <c r="BT99" s="3428"/>
      <c r="BU99" s="3428"/>
      <c r="BV99" s="3428"/>
      <c r="BW99" s="3428"/>
      <c r="BX99" s="3428"/>
      <c r="BY99" s="3428"/>
      <c r="BZ99" s="3428"/>
      <c r="CA99" s="3428"/>
      <c r="CB99" s="3428"/>
    </row>
    <row r="100" spans="1:80" s="3521" customFormat="1" ht="20.100000000000001" customHeight="1">
      <c r="A100" s="3517"/>
      <c r="B100" s="3518"/>
      <c r="C100" s="3432"/>
      <c r="D100" s="3362"/>
      <c r="E100" s="3432"/>
      <c r="F100" s="3518"/>
      <c r="G100" s="3436"/>
      <c r="H100" s="3520"/>
      <c r="I100" s="3520"/>
      <c r="J100" s="3436"/>
      <c r="K100" s="3519"/>
      <c r="L100" s="3472" t="s">
        <v>3289</v>
      </c>
      <c r="M100" s="3491"/>
      <c r="N100" s="3491"/>
      <c r="O100" s="3492"/>
      <c r="P100" s="3440"/>
      <c r="Q100" s="3377"/>
      <c r="R100" s="3377"/>
      <c r="S100" s="3377"/>
      <c r="T100" s="3377"/>
      <c r="U100" s="3377"/>
      <c r="V100" s="3377"/>
      <c r="W100" s="3377"/>
      <c r="X100" s="3377"/>
      <c r="Y100" s="3377"/>
      <c r="Z100" s="3377"/>
      <c r="AA100" s="3377"/>
      <c r="AB100" s="3377"/>
      <c r="AC100" s="3377"/>
      <c r="AD100" s="3377"/>
      <c r="AE100" s="3377"/>
      <c r="AF100" s="3377"/>
      <c r="AG100" s="3377"/>
      <c r="AH100" s="3377"/>
      <c r="AI100" s="3377"/>
      <c r="AJ100" s="3377"/>
      <c r="AK100" s="3377"/>
      <c r="AL100" s="3377"/>
      <c r="AM100" s="3377"/>
      <c r="AN100" s="3377"/>
      <c r="AO100" s="3377"/>
      <c r="AP100" s="3377"/>
      <c r="AQ100" s="3377"/>
      <c r="AR100" s="3377"/>
      <c r="AS100" s="3377"/>
      <c r="AT100" s="3377"/>
      <c r="AU100" s="3377"/>
      <c r="AV100" s="3377"/>
      <c r="AW100" s="3377"/>
      <c r="AX100" s="3377"/>
      <c r="AY100" s="3377"/>
      <c r="AZ100" s="3377"/>
      <c r="BA100" s="3377"/>
      <c r="BB100" s="3377"/>
      <c r="BC100" s="3377"/>
      <c r="BD100" s="3377"/>
      <c r="BE100" s="3377"/>
      <c r="BF100" s="3377"/>
      <c r="BG100" s="3377"/>
      <c r="BH100" s="3377"/>
      <c r="BI100" s="3377"/>
      <c r="BJ100" s="3377"/>
      <c r="BK100" s="3377"/>
      <c r="BL100" s="3377"/>
      <c r="BM100" s="3377"/>
      <c r="BN100" s="3377"/>
      <c r="BO100" s="3377"/>
      <c r="BP100" s="3377"/>
      <c r="BQ100" s="3377"/>
      <c r="BR100" s="3377"/>
      <c r="BS100" s="3377"/>
      <c r="BT100" s="3377"/>
      <c r="BU100" s="3377"/>
      <c r="BV100" s="3377"/>
      <c r="BW100" s="3377"/>
      <c r="BX100" s="3377"/>
      <c r="BY100" s="3377"/>
      <c r="BZ100" s="3377"/>
      <c r="CA100" s="3377"/>
      <c r="CB100" s="3377"/>
    </row>
    <row r="101" spans="1:80" s="3521" customFormat="1" ht="20.100000000000001" customHeight="1">
      <c r="A101" s="3517"/>
      <c r="B101" s="3518"/>
      <c r="C101" s="3432"/>
      <c r="D101" s="3362"/>
      <c r="E101" s="3432"/>
      <c r="F101" s="3518"/>
      <c r="G101" s="3436"/>
      <c r="H101" s="3520"/>
      <c r="I101" s="3520"/>
      <c r="J101" s="3436"/>
      <c r="K101" s="3519"/>
      <c r="L101" s="3472" t="s">
        <v>3290</v>
      </c>
      <c r="M101" s="3491"/>
      <c r="N101" s="3491"/>
      <c r="O101" s="3492"/>
      <c r="P101" s="3440"/>
      <c r="Q101" s="3377"/>
      <c r="R101" s="3377"/>
      <c r="S101" s="3377"/>
      <c r="T101" s="3377"/>
      <c r="U101" s="3377"/>
      <c r="V101" s="3377"/>
      <c r="W101" s="3377"/>
      <c r="X101" s="3377"/>
      <c r="Y101" s="3377"/>
      <c r="Z101" s="3377"/>
      <c r="AA101" s="3377"/>
      <c r="AB101" s="3377"/>
      <c r="AC101" s="3377"/>
      <c r="AD101" s="3377"/>
      <c r="AE101" s="3377"/>
      <c r="AF101" s="3377"/>
      <c r="AG101" s="3377"/>
      <c r="AH101" s="3377"/>
      <c r="AI101" s="3377"/>
      <c r="AJ101" s="3377"/>
      <c r="AK101" s="3377"/>
      <c r="AL101" s="3377"/>
      <c r="AM101" s="3377"/>
      <c r="AN101" s="3377"/>
      <c r="AO101" s="3377"/>
      <c r="AP101" s="3377"/>
      <c r="AQ101" s="3377"/>
      <c r="AR101" s="3377"/>
      <c r="AS101" s="3377"/>
      <c r="AT101" s="3377"/>
      <c r="AU101" s="3377"/>
      <c r="AV101" s="3377"/>
      <c r="AW101" s="3377"/>
      <c r="AX101" s="3377"/>
      <c r="AY101" s="3377"/>
      <c r="AZ101" s="3377"/>
      <c r="BA101" s="3377"/>
      <c r="BB101" s="3377"/>
      <c r="BC101" s="3377"/>
      <c r="BD101" s="3377"/>
      <c r="BE101" s="3377"/>
      <c r="BF101" s="3377"/>
      <c r="BG101" s="3377"/>
      <c r="BH101" s="3377"/>
      <c r="BI101" s="3377"/>
      <c r="BJ101" s="3377"/>
      <c r="BK101" s="3377"/>
      <c r="BL101" s="3377"/>
      <c r="BM101" s="3377"/>
      <c r="BN101" s="3377"/>
      <c r="BO101" s="3377"/>
      <c r="BP101" s="3377"/>
      <c r="BQ101" s="3377"/>
      <c r="BR101" s="3377"/>
      <c r="BS101" s="3377"/>
      <c r="BT101" s="3377"/>
      <c r="BU101" s="3377"/>
      <c r="BV101" s="3377"/>
      <c r="BW101" s="3377"/>
      <c r="BX101" s="3377"/>
      <c r="BY101" s="3377"/>
      <c r="BZ101" s="3377"/>
      <c r="CA101" s="3377"/>
      <c r="CB101" s="3377"/>
    </row>
    <row r="102" spans="1:80" s="3521" customFormat="1" ht="20.100000000000001" customHeight="1">
      <c r="A102" s="3522"/>
      <c r="B102" s="3523"/>
      <c r="C102" s="3443"/>
      <c r="D102" s="3365"/>
      <c r="E102" s="3443"/>
      <c r="F102" s="3523"/>
      <c r="G102" s="3446"/>
      <c r="H102" s="3520"/>
      <c r="I102" s="3520"/>
      <c r="J102" s="3446"/>
      <c r="K102" s="3524"/>
      <c r="L102" s="3472" t="s">
        <v>3291</v>
      </c>
      <c r="M102" s="3493"/>
      <c r="N102" s="3493"/>
      <c r="O102" s="3494"/>
      <c r="P102" s="3450"/>
      <c r="Q102" s="3377"/>
      <c r="R102" s="3377"/>
      <c r="S102" s="3377"/>
      <c r="T102" s="3377"/>
      <c r="U102" s="3377"/>
      <c r="V102" s="3377"/>
      <c r="W102" s="3377"/>
      <c r="X102" s="3377"/>
      <c r="Y102" s="3377"/>
      <c r="Z102" s="3377"/>
      <c r="AA102" s="3377"/>
      <c r="AB102" s="3377"/>
      <c r="AC102" s="3377"/>
      <c r="AD102" s="3377"/>
      <c r="AE102" s="3377"/>
      <c r="AF102" s="3377"/>
      <c r="AG102" s="3377"/>
      <c r="AH102" s="3377"/>
      <c r="AI102" s="3377"/>
      <c r="AJ102" s="3377"/>
      <c r="AK102" s="3377"/>
      <c r="AL102" s="3377"/>
      <c r="AM102" s="3377"/>
      <c r="AN102" s="3377"/>
      <c r="AO102" s="3377"/>
      <c r="AP102" s="3377"/>
      <c r="AQ102" s="3377"/>
      <c r="AR102" s="3377"/>
      <c r="AS102" s="3377"/>
      <c r="AT102" s="3377"/>
      <c r="AU102" s="3377"/>
      <c r="AV102" s="3377"/>
      <c r="AW102" s="3377"/>
      <c r="AX102" s="3377"/>
      <c r="AY102" s="3377"/>
      <c r="AZ102" s="3377"/>
      <c r="BA102" s="3377"/>
      <c r="BB102" s="3377"/>
      <c r="BC102" s="3377"/>
      <c r="BD102" s="3377"/>
      <c r="BE102" s="3377"/>
      <c r="BF102" s="3377"/>
      <c r="BG102" s="3377"/>
      <c r="BH102" s="3377"/>
      <c r="BI102" s="3377"/>
      <c r="BJ102" s="3377"/>
      <c r="BK102" s="3377"/>
      <c r="BL102" s="3377"/>
      <c r="BM102" s="3377"/>
      <c r="BN102" s="3377"/>
      <c r="BO102" s="3377"/>
      <c r="BP102" s="3377"/>
      <c r="BQ102" s="3377"/>
      <c r="BR102" s="3377"/>
      <c r="BS102" s="3377"/>
      <c r="BT102" s="3377"/>
      <c r="BU102" s="3377"/>
      <c r="BV102" s="3377"/>
      <c r="BW102" s="3377"/>
      <c r="BX102" s="3377"/>
      <c r="BY102" s="3377"/>
      <c r="BZ102" s="3377"/>
      <c r="CA102" s="3377"/>
      <c r="CB102" s="3377"/>
    </row>
    <row r="103" spans="1:80" s="3521" customFormat="1" ht="20.100000000000001" customHeight="1">
      <c r="A103" s="3525"/>
      <c r="B103" s="3526"/>
      <c r="C103" s="3526"/>
      <c r="D103" s="3526"/>
      <c r="E103" s="3526"/>
      <c r="F103" s="3526"/>
      <c r="G103" s="3527"/>
      <c r="H103" s="3528"/>
      <c r="I103" s="3528"/>
      <c r="J103" s="3529"/>
      <c r="K103" s="3530"/>
      <c r="L103" s="3531"/>
      <c r="M103" s="3531">
        <f>SUM(M9:M102)*12</f>
        <v>48038121.360000007</v>
      </c>
      <c r="N103" s="3531">
        <f>SUM(N9:N102)</f>
        <v>16409.68</v>
      </c>
      <c r="O103" s="3532"/>
      <c r="P103" s="3533">
        <f>SUM(P9:P102)</f>
        <v>369.40160000000003</v>
      </c>
      <c r="Q103" s="3377"/>
      <c r="R103" s="3377"/>
      <c r="S103" s="3377"/>
      <c r="T103" s="3377"/>
      <c r="U103" s="3377"/>
      <c r="V103" s="3377"/>
      <c r="W103" s="3377"/>
      <c r="X103" s="3377"/>
      <c r="Y103" s="3377"/>
      <c r="Z103" s="3377"/>
      <c r="AA103" s="3377"/>
      <c r="AB103" s="3377"/>
      <c r="AC103" s="3377"/>
      <c r="AD103" s="3377"/>
      <c r="AE103" s="3377"/>
      <c r="AF103" s="3377"/>
      <c r="AG103" s="3377"/>
      <c r="AH103" s="3377"/>
      <c r="AI103" s="3377"/>
      <c r="AJ103" s="3377"/>
      <c r="AK103" s="3377"/>
      <c r="AL103" s="3377"/>
      <c r="AM103" s="3377"/>
      <c r="AN103" s="3377"/>
      <c r="AO103" s="3377"/>
      <c r="AP103" s="3377"/>
      <c r="AQ103" s="3377"/>
      <c r="AR103" s="3377"/>
      <c r="AS103" s="3377"/>
      <c r="AT103" s="3377"/>
      <c r="AU103" s="3377"/>
      <c r="AV103" s="3377"/>
      <c r="AW103" s="3377"/>
      <c r="AX103" s="3377"/>
      <c r="AY103" s="3377"/>
      <c r="AZ103" s="3377"/>
      <c r="BA103" s="3377"/>
      <c r="BB103" s="3377"/>
      <c r="BC103" s="3377"/>
      <c r="BD103" s="3377"/>
      <c r="BE103" s="3377"/>
      <c r="BF103" s="3377"/>
      <c r="BG103" s="3377"/>
      <c r="BH103" s="3377"/>
      <c r="BI103" s="3377"/>
      <c r="BJ103" s="3377"/>
      <c r="BK103" s="3377"/>
      <c r="BL103" s="3377"/>
      <c r="BM103" s="3377"/>
      <c r="BN103" s="3377"/>
      <c r="BO103" s="3377"/>
      <c r="BP103" s="3377"/>
      <c r="BQ103" s="3377"/>
      <c r="BR103" s="3377"/>
      <c r="BS103" s="3377"/>
      <c r="BT103" s="3377"/>
      <c r="BU103" s="3377"/>
      <c r="BV103" s="3377"/>
      <c r="BW103" s="3377"/>
      <c r="BX103" s="3377"/>
      <c r="BY103" s="3377"/>
      <c r="BZ103" s="3377"/>
      <c r="CA103" s="3377"/>
      <c r="CB103" s="3377"/>
    </row>
    <row r="104" spans="1:80" s="3428" customFormat="1" ht="20.100000000000001" customHeight="1">
      <c r="A104" s="3534"/>
      <c r="B104" s="3534"/>
      <c r="C104" s="3534"/>
      <c r="D104" s="3534"/>
      <c r="E104" s="3534"/>
      <c r="F104" s="3534"/>
      <c r="G104" s="3535">
        <f>SUM(G9:I102)</f>
        <v>4003176.7600000002</v>
      </c>
      <c r="H104" s="3536">
        <f>SUM(H9:H31)</f>
        <v>0</v>
      </c>
      <c r="I104" s="3536">
        <f>SUM(H104:H104)</f>
        <v>0</v>
      </c>
      <c r="J104" s="3537">
        <f>SUM(J9:J102)</f>
        <v>16409.68</v>
      </c>
      <c r="K104" s="3538"/>
      <c r="L104" s="3485"/>
      <c r="M104" s="3485">
        <f>ROUND(M103/N103/365,1)</f>
        <v>8</v>
      </c>
      <c r="N104" s="3485"/>
      <c r="O104" s="3486"/>
      <c r="P104" s="3485"/>
      <c r="R104" s="3429"/>
    </row>
    <row r="105" spans="1:80" s="3428" customFormat="1" ht="20.100000000000001" customHeight="1" thickBot="1">
      <c r="A105" s="3534"/>
      <c r="B105" s="3534"/>
      <c r="C105" s="3534"/>
      <c r="D105" s="3534"/>
      <c r="E105" s="3539"/>
      <c r="F105" s="3534"/>
      <c r="G105" s="3354"/>
      <c r="H105" s="3540"/>
      <c r="I105" s="3540"/>
      <c r="J105" s="3541"/>
      <c r="K105" s="3538"/>
      <c r="L105" s="3542"/>
      <c r="M105" s="3542"/>
      <c r="N105" s="3542"/>
      <c r="O105" s="3543"/>
      <c r="P105" s="3542"/>
      <c r="Q105" s="3429"/>
      <c r="R105" s="3429"/>
    </row>
    <row r="106" spans="1:80" s="3428" customFormat="1" ht="20.100000000000001" customHeight="1" thickBot="1">
      <c r="B106" s="3534"/>
      <c r="C106" s="3544"/>
      <c r="D106" s="3545"/>
      <c r="E106" s="3539"/>
      <c r="F106" s="3546"/>
      <c r="G106" s="3547" t="s">
        <v>3292</v>
      </c>
      <c r="H106" s="3545"/>
      <c r="J106" s="3548">
        <f>J104</f>
        <v>16409.68</v>
      </c>
      <c r="K106" s="3538"/>
      <c r="L106" s="3542"/>
      <c r="M106" s="3542"/>
      <c r="N106" s="3542"/>
      <c r="O106" s="3543"/>
      <c r="P106" s="3543">
        <f>P103/J104</f>
        <v>2.2511200705924796E-2</v>
      </c>
      <c r="Q106" s="3429"/>
      <c r="R106" s="3429"/>
    </row>
    <row r="107" spans="1:80" s="3428" customFormat="1" ht="20.100000000000001" customHeight="1" thickBot="1">
      <c r="B107" s="3534"/>
      <c r="C107" s="3544"/>
      <c r="D107" s="3549"/>
      <c r="E107" s="3549"/>
      <c r="F107" s="3546"/>
      <c r="G107" s="3550" t="s">
        <v>3293</v>
      </c>
      <c r="H107" s="3551"/>
      <c r="J107" s="3552"/>
      <c r="K107" s="3538"/>
      <c r="L107" s="3485"/>
      <c r="M107" s="3485"/>
      <c r="N107" s="3485"/>
      <c r="O107" s="3486"/>
      <c r="P107" s="3485"/>
      <c r="R107" s="3429"/>
    </row>
    <row r="108" spans="1:80" s="3428" customFormat="1" ht="20.100000000000001" customHeight="1" thickBot="1">
      <c r="B108" s="3534">
        <v>45289</v>
      </c>
      <c r="C108" s="3544"/>
      <c r="D108" s="3545"/>
      <c r="E108" s="3539"/>
      <c r="F108" s="3553"/>
      <c r="G108" s="3554" t="s">
        <v>3294</v>
      </c>
      <c r="H108" s="3545"/>
      <c r="J108" s="3555">
        <f>+J106/22273</f>
        <v>0.73675212140259505</v>
      </c>
      <c r="K108" s="3556">
        <f>(G104)/J106</f>
        <v>243.9521526318612</v>
      </c>
      <c r="L108" s="3485"/>
      <c r="M108" s="3485"/>
      <c r="N108" s="3485"/>
      <c r="O108" s="3486"/>
      <c r="P108" s="3485"/>
      <c r="R108" s="3429"/>
    </row>
    <row r="109" spans="1:80" ht="11.25" customHeight="1">
      <c r="B109" s="3534">
        <v>43459</v>
      </c>
      <c r="F109" s="3546"/>
      <c r="G109" s="3546"/>
      <c r="M109" s="3558">
        <f>M98/N98/365</f>
        <v>0.55936072394071878</v>
      </c>
    </row>
    <row r="110" spans="1:80" ht="19.5" customHeight="1">
      <c r="A110" s="3292" t="s">
        <v>3295</v>
      </c>
      <c r="B110" s="3567">
        <f>B108-B109</f>
        <v>1830</v>
      </c>
      <c r="F110" s="3546"/>
      <c r="G110" s="3546"/>
      <c r="K110" s="3560">
        <f>ROUND(K108/30,1)</f>
        <v>8.1</v>
      </c>
    </row>
    <row r="111" spans="1:80" ht="18.75">
      <c r="B111" s="3567">
        <f>ROUND(B110/365,2)</f>
        <v>5.01</v>
      </c>
      <c r="G111" s="3546"/>
    </row>
    <row r="112" spans="1:80" ht="18.75">
      <c r="B112" s="3534"/>
      <c r="G112" s="3546"/>
    </row>
    <row r="113" spans="2:7" ht="18.75">
      <c r="B113" s="3534"/>
      <c r="G113" s="3546"/>
    </row>
    <row r="114" spans="2:7" ht="18.75">
      <c r="B114" s="3534"/>
      <c r="G114" s="3546"/>
    </row>
    <row r="115" spans="2:7" ht="18.75">
      <c r="B115" s="3534"/>
      <c r="G115" s="3546"/>
    </row>
    <row r="116" spans="2:7" ht="18.75">
      <c r="B116" s="3534"/>
      <c r="G116" s="3546"/>
    </row>
    <row r="117" spans="2:7" ht="18.75">
      <c r="B117" s="3534"/>
      <c r="G117" s="3546"/>
    </row>
    <row r="118" spans="2:7" ht="18.75">
      <c r="B118" s="3534"/>
      <c r="G118" s="3546"/>
    </row>
    <row r="119" spans="2:7" ht="19.5" customHeight="1">
      <c r="B119" s="3534"/>
      <c r="G119" s="3546"/>
    </row>
  </sheetData>
  <mergeCells count="254">
    <mergeCell ref="G98:G102"/>
    <mergeCell ref="J98:J102"/>
    <mergeCell ref="K98:K102"/>
    <mergeCell ref="P98:P102"/>
    <mergeCell ref="G95:G97"/>
    <mergeCell ref="J95:J97"/>
    <mergeCell ref="K95:K97"/>
    <mergeCell ref="P95:P97"/>
    <mergeCell ref="A98:A102"/>
    <mergeCell ref="B98:B102"/>
    <mergeCell ref="C98:C102"/>
    <mergeCell ref="D98:D102"/>
    <mergeCell ref="E98:E102"/>
    <mergeCell ref="F98:F102"/>
    <mergeCell ref="G92:G94"/>
    <mergeCell ref="J92:J94"/>
    <mergeCell ref="K92:K94"/>
    <mergeCell ref="P92:P94"/>
    <mergeCell ref="A95:A97"/>
    <mergeCell ref="B95:B97"/>
    <mergeCell ref="C95:C97"/>
    <mergeCell ref="D95:D97"/>
    <mergeCell ref="E95:E97"/>
    <mergeCell ref="F95:F97"/>
    <mergeCell ref="G87:G91"/>
    <mergeCell ref="J87:J91"/>
    <mergeCell ref="K87:K91"/>
    <mergeCell ref="P87:P91"/>
    <mergeCell ref="A92:A94"/>
    <mergeCell ref="B92:B94"/>
    <mergeCell ref="C92:C94"/>
    <mergeCell ref="D92:D94"/>
    <mergeCell ref="E92:E94"/>
    <mergeCell ref="F92:F94"/>
    <mergeCell ref="G84:G86"/>
    <mergeCell ref="J84:J86"/>
    <mergeCell ref="K84:K86"/>
    <mergeCell ref="P84:P86"/>
    <mergeCell ref="A87:A91"/>
    <mergeCell ref="B87:B91"/>
    <mergeCell ref="C87:C91"/>
    <mergeCell ref="D87:D91"/>
    <mergeCell ref="E87:E91"/>
    <mergeCell ref="F87:F91"/>
    <mergeCell ref="G81:G83"/>
    <mergeCell ref="J81:J83"/>
    <mergeCell ref="K81:K83"/>
    <mergeCell ref="P81:P83"/>
    <mergeCell ref="A84:A86"/>
    <mergeCell ref="B84:B86"/>
    <mergeCell ref="C84:C86"/>
    <mergeCell ref="D84:D86"/>
    <mergeCell ref="E84:E86"/>
    <mergeCell ref="F84:F86"/>
    <mergeCell ref="G78:G80"/>
    <mergeCell ref="J78:J80"/>
    <mergeCell ref="K78:K80"/>
    <mergeCell ref="P78:P80"/>
    <mergeCell ref="A81:A83"/>
    <mergeCell ref="B81:B83"/>
    <mergeCell ref="C81:C83"/>
    <mergeCell ref="D81:D83"/>
    <mergeCell ref="E81:E83"/>
    <mergeCell ref="F81:F83"/>
    <mergeCell ref="G75:G77"/>
    <mergeCell ref="J75:J77"/>
    <mergeCell ref="K75:K77"/>
    <mergeCell ref="P75:P77"/>
    <mergeCell ref="A78:A80"/>
    <mergeCell ref="B78:B80"/>
    <mergeCell ref="C78:C80"/>
    <mergeCell ref="D78:D80"/>
    <mergeCell ref="E78:E80"/>
    <mergeCell ref="F78:F80"/>
    <mergeCell ref="A75:A77"/>
    <mergeCell ref="B75:B77"/>
    <mergeCell ref="C75:C77"/>
    <mergeCell ref="D75:D77"/>
    <mergeCell ref="E75:E77"/>
    <mergeCell ref="F75:F77"/>
    <mergeCell ref="P69:P71"/>
    <mergeCell ref="A72:A74"/>
    <mergeCell ref="B72:B74"/>
    <mergeCell ref="C72:C74"/>
    <mergeCell ref="D72:D74"/>
    <mergeCell ref="E72:E74"/>
    <mergeCell ref="F72:F74"/>
    <mergeCell ref="J72:J74"/>
    <mergeCell ref="K72:K74"/>
    <mergeCell ref="P72:P74"/>
    <mergeCell ref="K66:K68"/>
    <mergeCell ref="P66:P68"/>
    <mergeCell ref="A69:A71"/>
    <mergeCell ref="B69:B71"/>
    <mergeCell ref="C69:C71"/>
    <mergeCell ref="D69:D71"/>
    <mergeCell ref="E69:E71"/>
    <mergeCell ref="F69:F71"/>
    <mergeCell ref="J69:J71"/>
    <mergeCell ref="K69:K71"/>
    <mergeCell ref="J62:J65"/>
    <mergeCell ref="K62:K65"/>
    <mergeCell ref="P62:P65"/>
    <mergeCell ref="A66:A68"/>
    <mergeCell ref="B66:B68"/>
    <mergeCell ref="C66:C68"/>
    <mergeCell ref="D66:D68"/>
    <mergeCell ref="E66:E68"/>
    <mergeCell ref="F66:F68"/>
    <mergeCell ref="J66:J68"/>
    <mergeCell ref="A62:A65"/>
    <mergeCell ref="B62:B65"/>
    <mergeCell ref="C62:C65"/>
    <mergeCell ref="D62:D65"/>
    <mergeCell ref="E62:E65"/>
    <mergeCell ref="F62:F65"/>
    <mergeCell ref="P55:P57"/>
    <mergeCell ref="A58:A61"/>
    <mergeCell ref="B58:B61"/>
    <mergeCell ref="C58:C61"/>
    <mergeCell ref="D58:D61"/>
    <mergeCell ref="E58:E61"/>
    <mergeCell ref="F58:F61"/>
    <mergeCell ref="J58:J61"/>
    <mergeCell ref="K58:K61"/>
    <mergeCell ref="P58:P61"/>
    <mergeCell ref="P52:P54"/>
    <mergeCell ref="A55:A57"/>
    <mergeCell ref="B55:B57"/>
    <mergeCell ref="C55:C57"/>
    <mergeCell ref="D55:D57"/>
    <mergeCell ref="E55:E57"/>
    <mergeCell ref="F55:F57"/>
    <mergeCell ref="G55:G57"/>
    <mergeCell ref="J55:J57"/>
    <mergeCell ref="K55:K57"/>
    <mergeCell ref="P49:P51"/>
    <mergeCell ref="A52:A54"/>
    <mergeCell ref="B52:B54"/>
    <mergeCell ref="C52:C54"/>
    <mergeCell ref="D52:D54"/>
    <mergeCell ref="E52:E54"/>
    <mergeCell ref="F52:F54"/>
    <mergeCell ref="G52:G54"/>
    <mergeCell ref="J52:J54"/>
    <mergeCell ref="K52:K54"/>
    <mergeCell ref="A49:A51"/>
    <mergeCell ref="B49:B51"/>
    <mergeCell ref="C49:C51"/>
    <mergeCell ref="D49:D51"/>
    <mergeCell ref="E49:E51"/>
    <mergeCell ref="F49:F51"/>
    <mergeCell ref="G49:G51"/>
    <mergeCell ref="J49:J51"/>
    <mergeCell ref="K49:K51"/>
    <mergeCell ref="P46:P48"/>
    <mergeCell ref="P43:P45"/>
    <mergeCell ref="A46:A48"/>
    <mergeCell ref="B46:B48"/>
    <mergeCell ref="C46:C48"/>
    <mergeCell ref="D46:D48"/>
    <mergeCell ref="E46:E48"/>
    <mergeCell ref="F46:F48"/>
    <mergeCell ref="G46:G48"/>
    <mergeCell ref="J46:J48"/>
    <mergeCell ref="K46:K48"/>
    <mergeCell ref="A43:A45"/>
    <mergeCell ref="B43:B45"/>
    <mergeCell ref="C43:C45"/>
    <mergeCell ref="D43:D45"/>
    <mergeCell ref="E43:E45"/>
    <mergeCell ref="F43:F45"/>
    <mergeCell ref="G43:G45"/>
    <mergeCell ref="J43:J45"/>
    <mergeCell ref="K43:K45"/>
    <mergeCell ref="P40:P42"/>
    <mergeCell ref="A40:A42"/>
    <mergeCell ref="B40:B42"/>
    <mergeCell ref="C40:C42"/>
    <mergeCell ref="D40:D42"/>
    <mergeCell ref="E40:E42"/>
    <mergeCell ref="F40:F42"/>
    <mergeCell ref="G40:G42"/>
    <mergeCell ref="J40:J42"/>
    <mergeCell ref="K40:K42"/>
    <mergeCell ref="P36:P39"/>
    <mergeCell ref="P32:P35"/>
    <mergeCell ref="A36:A39"/>
    <mergeCell ref="B36:B39"/>
    <mergeCell ref="C36:C39"/>
    <mergeCell ref="D36:D39"/>
    <mergeCell ref="E36:E39"/>
    <mergeCell ref="F36:F39"/>
    <mergeCell ref="G36:G39"/>
    <mergeCell ref="J36:J39"/>
    <mergeCell ref="K36:K39"/>
    <mergeCell ref="A32:A35"/>
    <mergeCell ref="B32:B35"/>
    <mergeCell ref="C32:C35"/>
    <mergeCell ref="D32:D35"/>
    <mergeCell ref="E32:E35"/>
    <mergeCell ref="F32:F35"/>
    <mergeCell ref="G32:G35"/>
    <mergeCell ref="J32:J35"/>
    <mergeCell ref="K32:K35"/>
    <mergeCell ref="P28:P31"/>
    <mergeCell ref="P24:P27"/>
    <mergeCell ref="A28:A31"/>
    <mergeCell ref="B28:B31"/>
    <mergeCell ref="C28:C31"/>
    <mergeCell ref="D28:D31"/>
    <mergeCell ref="E28:E31"/>
    <mergeCell ref="F28:F31"/>
    <mergeCell ref="G28:G31"/>
    <mergeCell ref="J28:J31"/>
    <mergeCell ref="K28:K31"/>
    <mergeCell ref="A24:A27"/>
    <mergeCell ref="B24:B27"/>
    <mergeCell ref="C24:C27"/>
    <mergeCell ref="D24:D27"/>
    <mergeCell ref="E24:E27"/>
    <mergeCell ref="F24:F27"/>
    <mergeCell ref="G24:G27"/>
    <mergeCell ref="J24:J27"/>
    <mergeCell ref="K24:K27"/>
    <mergeCell ref="K19:K23"/>
    <mergeCell ref="P19:P23"/>
    <mergeCell ref="A19:A23"/>
    <mergeCell ref="B19:B23"/>
    <mergeCell ref="C19:C23"/>
    <mergeCell ref="D19:D23"/>
    <mergeCell ref="E19:E23"/>
    <mergeCell ref="G19:G23"/>
    <mergeCell ref="J19:J23"/>
    <mergeCell ref="P9:P13"/>
    <mergeCell ref="A14:A18"/>
    <mergeCell ref="B14:B18"/>
    <mergeCell ref="C14:C18"/>
    <mergeCell ref="D14:D18"/>
    <mergeCell ref="E14:E18"/>
    <mergeCell ref="G14:G18"/>
    <mergeCell ref="J14:J18"/>
    <mergeCell ref="K14:K18"/>
    <mergeCell ref="P14:P18"/>
    <mergeCell ref="A9:A13"/>
    <mergeCell ref="B9:B13"/>
    <mergeCell ref="C9:C13"/>
    <mergeCell ref="D9:D13"/>
    <mergeCell ref="E9:E13"/>
    <mergeCell ref="G9:G13"/>
    <mergeCell ref="J9:J13"/>
    <mergeCell ref="K9:K13"/>
    <mergeCell ref="E5:E6"/>
    <mergeCell ref="P5:P6"/>
  </mergeCells>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7"/>
  <sheetViews>
    <sheetView workbookViewId="0">
      <selection activeCell="D1" sqref="D1"/>
    </sheetView>
  </sheetViews>
  <sheetFormatPr defaultRowHeight="13.5"/>
  <cols>
    <col min="1" max="1" width="15.375" customWidth="1"/>
  </cols>
  <sheetData>
    <row r="1" spans="1:4">
      <c r="A1" s="3291" t="s">
        <v>3090</v>
      </c>
      <c r="B1">
        <f>'数据-汇总表'!E20</f>
        <v>21099.64</v>
      </c>
      <c r="C1">
        <f>ROUND(B1/$B$6,2)</f>
        <v>0.43</v>
      </c>
      <c r="D1">
        <f>ROUND($C$6*C1,0)</f>
        <v>452</v>
      </c>
    </row>
    <row r="2" spans="1:4">
      <c r="A2" s="3291" t="s">
        <v>3296</v>
      </c>
      <c r="B2" s="3568">
        <f>'数据-汇总表'!F21</f>
        <v>16409.68</v>
      </c>
      <c r="C2">
        <f t="shared" ref="C2:C4" si="0">ROUND(B2/$B$6,2)</f>
        <v>0.33</v>
      </c>
      <c r="D2">
        <f t="shared" ref="D2:D4" si="1">ROUND($C$6*C2,0)</f>
        <v>347</v>
      </c>
    </row>
    <row r="3" spans="1:4">
      <c r="A3" s="3291" t="s">
        <v>3298</v>
      </c>
      <c r="B3" s="3568">
        <f>'数据-汇总表'!F22</f>
        <v>5863.5999999999985</v>
      </c>
      <c r="C3">
        <f>ROUND(B3/$B$6,2)</f>
        <v>0.12</v>
      </c>
      <c r="D3">
        <f t="shared" si="1"/>
        <v>126</v>
      </c>
    </row>
    <row r="4" spans="1:4">
      <c r="A4" s="3291" t="s">
        <v>3091</v>
      </c>
      <c r="B4">
        <f>'数据-汇总表'!E19</f>
        <v>6074.74</v>
      </c>
      <c r="C4">
        <f>ROUND(B4/$B$6,2)</f>
        <v>0.12</v>
      </c>
      <c r="D4">
        <f t="shared" si="1"/>
        <v>126</v>
      </c>
    </row>
    <row r="6" spans="1:4">
      <c r="B6">
        <f>SUM(B1:B4)</f>
        <v>49447.659999999996</v>
      </c>
      <c r="C6">
        <f>ROUND(5250143.79*2/10000,0)</f>
        <v>1050</v>
      </c>
    </row>
    <row r="7" spans="1:4">
      <c r="B7">
        <f>'数据-汇总表'!E31-面积!B6</f>
        <v>672.66000000000349</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7" sqref="E27"/>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1776</v>
      </c>
      <c r="B1" s="3007" t="str">
        <f>IF(B10="北京市","北京市",C10)&amp;F10&amp;IF(结果表!G1="在建","出让国有建设用地使用权及在建建筑物",IF(结果表!G1="土地","出让国有建设用地使用权",))&amp;B9&amp;"预评估"</f>
        <v>北京市东城区香河园街1号11号楼房地产抵押价值预评估</v>
      </c>
      <c r="C1" s="3008"/>
      <c r="D1" s="3008"/>
      <c r="E1" s="3008"/>
      <c r="F1" s="3008"/>
      <c r="G1" s="3008"/>
      <c r="H1" s="3008"/>
      <c r="I1" s="300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北京市东城区香河园街1号11号楼房地产抵押价值</v>
      </c>
    </row>
    <row r="2" spans="1:19" ht="18" customHeight="1">
      <c r="A2" s="2027" t="s">
        <v>1777</v>
      </c>
      <c r="B2" s="1040" t="s">
        <v>3316</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北京市东城区香河园街1号11号楼房地产</v>
      </c>
    </row>
    <row r="3" spans="1:19" ht="18" customHeight="1">
      <c r="A3" s="2036" t="s">
        <v>1778</v>
      </c>
      <c r="B3" s="2037">
        <v>43458</v>
      </c>
      <c r="C3" s="2038" t="s">
        <v>1779</v>
      </c>
      <c r="D3" s="2037">
        <v>43458</v>
      </c>
      <c r="E3" s="2027"/>
      <c r="F3" s="2027"/>
      <c r="G3" s="2027"/>
      <c r="H3" s="2027"/>
      <c r="I3" s="2027"/>
      <c r="J3" s="2027"/>
      <c r="K3" s="2028"/>
      <c r="L3" s="2029"/>
      <c r="M3" s="2029"/>
      <c r="N3" s="2030"/>
      <c r="O3" s="2031"/>
      <c r="P3" s="2030"/>
      <c r="Q3" s="2030"/>
      <c r="R3" s="2030"/>
      <c r="S3" s="2032"/>
    </row>
    <row r="4" spans="1:19" ht="18" customHeight="1" thickBot="1">
      <c r="A4" s="2039" t="s">
        <v>1780</v>
      </c>
      <c r="B4" s="2040" t="s">
        <v>3318</v>
      </c>
      <c r="C4" s="1038">
        <f ca="1">SUMIF(注册房地产估价师,B4,估价师及机构信息!B3:B24)</f>
        <v>1120000080</v>
      </c>
      <c r="D4" s="2040" t="s">
        <v>3317</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3572" t="s">
        <v>3319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3572" t="s">
        <v>3320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3573" t="s">
        <v>3319</v>
      </c>
      <c r="C7" s="2049"/>
      <c r="D7" s="2050"/>
      <c r="E7" s="2035"/>
      <c r="F7" s="2043"/>
      <c r="G7" s="2043"/>
      <c r="H7" s="2043"/>
      <c r="I7" s="2043"/>
      <c r="J7" s="2043"/>
      <c r="K7" s="2052"/>
      <c r="L7" s="2029"/>
      <c r="M7" s="2029"/>
      <c r="N7" s="2030"/>
      <c r="O7" s="2031"/>
      <c r="P7" s="2030"/>
      <c r="Q7" s="2030"/>
      <c r="R7" s="2030"/>
    </row>
    <row r="8" spans="1:19" ht="18" customHeight="1">
      <c r="A8" s="2048" t="s">
        <v>1784</v>
      </c>
      <c r="B8" s="2053" t="s">
        <v>3053</v>
      </c>
      <c r="C8" s="2054"/>
      <c r="D8" s="3010" t="s">
        <v>1785</v>
      </c>
      <c r="E8" s="2055" t="s">
        <v>3054</v>
      </c>
      <c r="F8" s="2056"/>
      <c r="G8" s="2027"/>
      <c r="H8" s="2027"/>
      <c r="I8" s="2027"/>
      <c r="J8" s="2043"/>
      <c r="K8" s="2044"/>
      <c r="L8" s="2029"/>
      <c r="M8" s="2029"/>
      <c r="N8" s="2030"/>
      <c r="O8" s="2031"/>
      <c r="P8" s="2030"/>
      <c r="Q8" s="2030"/>
      <c r="R8" s="2030"/>
    </row>
    <row r="9" spans="1:19" ht="18" customHeight="1" thickBot="1">
      <c r="A9" s="2041" t="s">
        <v>1786</v>
      </c>
      <c r="B9" s="2057" t="s">
        <v>3054</v>
      </c>
      <c r="C9" s="2058"/>
      <c r="D9" s="3011"/>
      <c r="E9" s="2057"/>
      <c r="F9" s="2059"/>
      <c r="G9" s="2060"/>
      <c r="H9" s="2060"/>
      <c r="I9" s="2060"/>
      <c r="J9" s="2043"/>
      <c r="K9" s="2052"/>
      <c r="L9" s="2029"/>
      <c r="M9" s="2029"/>
      <c r="N9" s="2030"/>
      <c r="O9" s="2031"/>
      <c r="P9" s="2030"/>
      <c r="Q9" s="2030"/>
      <c r="R9" s="2030"/>
    </row>
    <row r="10" spans="1:19" ht="18" customHeight="1" thickTop="1">
      <c r="A10" s="2061" t="s">
        <v>1787</v>
      </c>
      <c r="B10" s="2062" t="s">
        <v>3055</v>
      </c>
      <c r="C10" s="2063"/>
      <c r="D10" s="2047"/>
      <c r="E10" s="2064" t="s">
        <v>1788</v>
      </c>
      <c r="F10" s="2065" t="s">
        <v>3324</v>
      </c>
      <c r="G10" s="2066"/>
      <c r="H10" s="2067"/>
      <c r="I10" s="2047"/>
      <c r="J10" s="2043"/>
      <c r="K10" s="2052"/>
      <c r="L10" s="2029"/>
      <c r="M10" s="2029"/>
      <c r="N10" s="2030"/>
      <c r="O10" s="2031"/>
      <c r="P10" s="2030"/>
      <c r="Q10" s="2030"/>
      <c r="R10" s="2030"/>
    </row>
    <row r="11" spans="1:19" ht="18" customHeight="1">
      <c r="A11" s="2068" t="s">
        <v>1789</v>
      </c>
      <c r="B11" s="2069" t="s">
        <v>3056</v>
      </c>
      <c r="C11" s="2070"/>
      <c r="D11" s="2071"/>
      <c r="E11" s="2043"/>
      <c r="F11" s="2043"/>
      <c r="G11" s="2043"/>
      <c r="H11" s="2043"/>
      <c r="I11" s="2043"/>
      <c r="J11" s="2043"/>
      <c r="K11" s="2052"/>
      <c r="L11" s="2029"/>
      <c r="M11" s="2029"/>
      <c r="N11" s="2030"/>
      <c r="O11" s="2031"/>
      <c r="P11" s="2030"/>
      <c r="Q11" s="2030"/>
      <c r="R11" s="2030"/>
    </row>
    <row r="12" spans="1:19" ht="18" customHeight="1">
      <c r="A12" s="2072" t="s">
        <v>1790</v>
      </c>
      <c r="B12" s="2069" t="s">
        <v>3057</v>
      </c>
      <c r="C12" s="2073" t="s">
        <v>1791</v>
      </c>
      <c r="D12" s="2074" t="s">
        <v>1792</v>
      </c>
      <c r="E12" s="2074" t="s">
        <v>1793</v>
      </c>
      <c r="F12" s="2074" t="s">
        <v>1794</v>
      </c>
      <c r="G12" s="2074" t="s">
        <v>1795</v>
      </c>
      <c r="H12" s="2074" t="s">
        <v>1796</v>
      </c>
      <c r="I12" s="2074" t="s">
        <v>1797</v>
      </c>
      <c r="J12" s="2043"/>
      <c r="K12" s="2052"/>
      <c r="L12" s="2029"/>
      <c r="M12" s="2029"/>
      <c r="N12" s="2030"/>
      <c r="O12" s="2031"/>
      <c r="P12" s="2030"/>
      <c r="Q12" s="2030"/>
      <c r="R12" s="2030"/>
    </row>
    <row r="13" spans="1:19" ht="18" customHeight="1">
      <c r="A13" s="2075"/>
      <c r="B13" s="2076"/>
      <c r="C13" s="2077" t="s">
        <v>1798</v>
      </c>
      <c r="D13" s="2078"/>
      <c r="E13" s="2078">
        <v>53730</v>
      </c>
      <c r="F13" s="2078">
        <v>57383</v>
      </c>
      <c r="G13" s="2078">
        <v>57383</v>
      </c>
      <c r="H13" s="2078"/>
      <c r="I13" s="1048"/>
      <c r="J13" s="2043"/>
      <c r="K13" s="2052"/>
      <c r="L13" s="2029"/>
      <c r="M13" s="2029"/>
      <c r="N13" s="2030"/>
      <c r="O13" s="2031"/>
      <c r="P13" s="2030"/>
      <c r="Q13" s="2030"/>
      <c r="R13" s="2030"/>
    </row>
    <row r="14" spans="1:19" ht="18" customHeight="1">
      <c r="A14" s="2075"/>
      <c r="B14" s="2076"/>
      <c r="C14" s="2077" t="s">
        <v>1799</v>
      </c>
      <c r="D14" s="1051"/>
      <c r="E14" s="1051">
        <v>40</v>
      </c>
      <c r="F14" s="1051">
        <v>50</v>
      </c>
      <c r="G14" s="1051">
        <v>50</v>
      </c>
      <c r="H14" s="1051"/>
      <c r="I14" s="1051"/>
      <c r="J14" s="2043"/>
      <c r="K14" s="2079"/>
      <c r="L14" s="2029"/>
      <c r="M14" s="2029"/>
      <c r="N14" s="2030"/>
      <c r="O14" s="2031"/>
      <c r="P14" s="2030"/>
      <c r="Q14" s="2030"/>
      <c r="R14" s="2030"/>
    </row>
    <row r="15" spans="1:19" ht="18" customHeight="1">
      <c r="A15" s="2061"/>
      <c r="B15" s="2080"/>
      <c r="C15" s="2077" t="s">
        <v>1800</v>
      </c>
      <c r="D15" s="1050" t="str">
        <f>IF(B12="出让",IF(D13="","",ROUNDDOWN(MIN((D13-$D$3)/365,D14),2)),D14)</f>
        <v/>
      </c>
      <c r="E15" s="1050">
        <f>IF(B12="出让",IF(E13="","",ROUNDDOWN(MIN((E13-$D$3)/365,E14),2)),E14)</f>
        <v>28.14</v>
      </c>
      <c r="F15" s="1050">
        <f>IF(B12="出让",IF(F13="","",ROUNDDOWN(MIN((F13-$D$3)/365,F14),2)),F14)</f>
        <v>38.15</v>
      </c>
      <c r="G15" s="1050">
        <f>IF(B12="出让",IF(G13="","",ROUNDDOWN(MIN((G13-$D$3)/365,G14),2)),G14)</f>
        <v>38.15</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1801</v>
      </c>
      <c r="B16" s="3574" t="s">
        <v>3325</v>
      </c>
      <c r="C16" s="3017"/>
      <c r="D16" s="3018"/>
      <c r="E16" s="2084" t="s">
        <v>1802</v>
      </c>
      <c r="F16" s="3019"/>
      <c r="G16" s="3020"/>
      <c r="H16" s="3020"/>
      <c r="I16" s="3021"/>
      <c r="J16" s="2030"/>
      <c r="K16" s="2081"/>
      <c r="L16" s="2082"/>
      <c r="M16" s="2082"/>
      <c r="N16" s="2083"/>
      <c r="O16" s="2082"/>
      <c r="P16" s="2083"/>
      <c r="Q16" s="2030"/>
      <c r="R16" s="2030"/>
    </row>
    <row r="17" spans="1:22" ht="18" customHeight="1">
      <c r="A17" s="2085" t="s">
        <v>1803</v>
      </c>
      <c r="B17" s="2036" t="s">
        <v>1804</v>
      </c>
      <c r="C17" s="1055">
        <f>'数据-汇总表'!E3</f>
        <v>50120.32</v>
      </c>
      <c r="D17" s="2086" t="s">
        <v>1805</v>
      </c>
      <c r="E17" s="3022" t="s">
        <v>3321</v>
      </c>
      <c r="F17" s="3023"/>
      <c r="G17" s="3023"/>
      <c r="H17" s="3023"/>
      <c r="I17" s="3024"/>
      <c r="J17" s="2030"/>
      <c r="K17" s="2087"/>
      <c r="L17" s="2082"/>
      <c r="M17" s="2082"/>
      <c r="N17" s="2083"/>
      <c r="O17" s="2082"/>
      <c r="P17" s="2083"/>
      <c r="Q17" s="2030"/>
      <c r="R17" s="2030"/>
      <c r="S17" s="2030"/>
      <c r="T17" s="2030"/>
      <c r="U17" s="2030"/>
      <c r="V17" s="2030"/>
    </row>
    <row r="18" spans="1:22" ht="36" customHeight="1" thickBot="1">
      <c r="A18" s="2088" t="s">
        <v>70</v>
      </c>
      <c r="B18" s="2039" t="s">
        <v>1806</v>
      </c>
      <c r="C18" s="1445">
        <f>'数据-汇总表'!D3</f>
        <v>5235.2</v>
      </c>
      <c r="D18" s="2089" t="s">
        <v>1805</v>
      </c>
      <c r="E18" s="3025" t="s">
        <v>3322</v>
      </c>
      <c r="F18" s="3026"/>
      <c r="G18" s="3026"/>
      <c r="H18" s="3026"/>
      <c r="I18" s="3027"/>
      <c r="J18" s="2030"/>
      <c r="K18" s="2087"/>
      <c r="L18" s="2082"/>
      <c r="M18" s="2082"/>
      <c r="N18" s="2083"/>
      <c r="O18" s="2082"/>
      <c r="P18" s="2083"/>
      <c r="Q18" s="2030"/>
      <c r="R18" s="2030"/>
      <c r="S18" s="2030"/>
      <c r="T18" s="2030"/>
      <c r="U18" s="2030"/>
      <c r="V18" s="2030"/>
    </row>
    <row r="19" spans="1:22" ht="37.5" customHeight="1" thickTop="1" thickBot="1">
      <c r="A19" s="373" t="s">
        <v>1807</v>
      </c>
      <c r="B19" s="352" t="s">
        <v>1808</v>
      </c>
      <c r="C19" s="2090" t="s">
        <v>3048</v>
      </c>
      <c r="D19" s="2091" t="s">
        <v>1809</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1810</v>
      </c>
      <c r="B20" s="3013" t="s">
        <v>1811</v>
      </c>
      <c r="C20" s="3014"/>
      <c r="D20" s="3015" t="s">
        <v>1812</v>
      </c>
      <c r="E20" s="3016"/>
      <c r="F20" s="2096" t="s">
        <v>1813</v>
      </c>
      <c r="G20" s="2043"/>
      <c r="H20" s="2043"/>
      <c r="I20" s="2043"/>
      <c r="J20" s="2043"/>
      <c r="K20" s="3012"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5"/>
      <c r="B21" s="2097" t="s">
        <v>1815</v>
      </c>
      <c r="C21" s="2098" t="s">
        <v>3323</v>
      </c>
      <c r="D21" s="2099" t="s">
        <v>1817</v>
      </c>
      <c r="E21" s="2100" t="s">
        <v>1816</v>
      </c>
      <c r="F21" s="2101"/>
      <c r="G21" s="2043"/>
      <c r="H21" s="2043"/>
      <c r="I21" s="2043"/>
      <c r="J21" s="2043"/>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1818</v>
      </c>
      <c r="C22" s="2098" t="s">
        <v>3323</v>
      </c>
      <c r="D22" s="2027"/>
      <c r="E22" s="2027"/>
      <c r="F22" s="2103"/>
      <c r="G22" s="2043"/>
      <c r="H22" s="2043"/>
      <c r="I22" s="2043"/>
      <c r="J22" s="2043"/>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1819</v>
      </c>
      <c r="B23" s="183" t="s">
        <v>1820</v>
      </c>
      <c r="C23" s="2105">
        <v>42367</v>
      </c>
      <c r="D23" s="2106" t="s">
        <v>1820</v>
      </c>
      <c r="E23" s="2107"/>
      <c r="F23" s="2103"/>
      <c r="G23" s="2043"/>
      <c r="H23" s="2043"/>
      <c r="I23" s="2043"/>
      <c r="J23" s="2043"/>
      <c r="K23" s="2108"/>
      <c r="L23" s="748"/>
      <c r="M23" s="2029"/>
      <c r="N23" s="2083"/>
      <c r="O23" s="2082"/>
      <c r="P23" s="2083"/>
      <c r="Q23" s="2030"/>
      <c r="R23" s="2030"/>
      <c r="S23" s="2030"/>
      <c r="T23" s="2030"/>
      <c r="U23" s="2030"/>
      <c r="V23" s="2030"/>
    </row>
    <row r="24" spans="1:22" ht="18" customHeight="1">
      <c r="A24" s="2109"/>
      <c r="B24" s="183" t="s">
        <v>1821</v>
      </c>
      <c r="C24" s="2110"/>
      <c r="D24" s="2104" t="s">
        <v>1821</v>
      </c>
      <c r="E24" s="2111"/>
      <c r="F24" s="2103"/>
      <c r="G24" s="2043"/>
      <c r="H24" s="2043"/>
      <c r="I24" s="2043"/>
      <c r="J24" s="2043"/>
      <c r="K24" s="2108"/>
      <c r="L24" s="748"/>
      <c r="M24" s="2029"/>
      <c r="N24" s="2083"/>
      <c r="O24" s="2082"/>
      <c r="P24" s="2083"/>
      <c r="Q24" s="2030"/>
      <c r="R24" s="2030"/>
      <c r="S24" s="2030"/>
      <c r="T24" s="2030"/>
      <c r="U24" s="2030"/>
      <c r="V24" s="2030"/>
    </row>
    <row r="25" spans="1:22" ht="18" customHeight="1">
      <c r="A25" s="2109"/>
      <c r="B25" s="183" t="s">
        <v>1822</v>
      </c>
      <c r="C25" s="2110"/>
      <c r="D25" s="2104" t="s">
        <v>1822</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1823</v>
      </c>
      <c r="C26" s="2114"/>
      <c r="D26" s="2115" t="s">
        <v>1824</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29" t="s">
        <v>1825</v>
      </c>
      <c r="B27" s="2061" t="s">
        <v>1826</v>
      </c>
      <c r="C27" s="2118"/>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29"/>
      <c r="B28" s="2036" t="s">
        <v>1827</v>
      </c>
      <c r="C28" s="2120"/>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29"/>
      <c r="B29" s="2036" t="s">
        <v>1828</v>
      </c>
      <c r="C29" s="2123"/>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30"/>
      <c r="B30" s="2036" t="s">
        <v>1829</v>
      </c>
      <c r="C30" s="3031"/>
      <c r="D30" s="3032"/>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33" t="s">
        <v>1830</v>
      </c>
      <c r="B31" s="2125"/>
      <c r="C31" s="2126" t="str">
        <f>IF(B31="现房","成新及维护状况正常否",IF(B31="在建","工程状态是否正常",IF(B31="土地","是否闲置","-")))</f>
        <v>-</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34"/>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34"/>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2" t="s">
        <v>3058</v>
      </c>
      <c r="C34" s="2132" t="s">
        <v>3059</v>
      </c>
      <c r="D34" s="2132" t="s">
        <v>3060</v>
      </c>
      <c r="E34" s="2132" t="s">
        <v>3061</v>
      </c>
      <c r="F34" s="2132" t="s">
        <v>3062</v>
      </c>
      <c r="G34" s="2132" t="s">
        <v>3063</v>
      </c>
      <c r="H34" s="2132"/>
      <c r="I34" s="2043"/>
      <c r="J34" s="2043"/>
      <c r="K34" s="1796">
        <f>COUNTIF(B34:H34,"——")</f>
        <v>0</v>
      </c>
      <c r="L34" s="2073" t="s">
        <v>1832</v>
      </c>
      <c r="M34" s="2073" t="s">
        <v>1833</v>
      </c>
      <c r="N34" s="2073" t="s">
        <v>1834</v>
      </c>
      <c r="O34" s="2073" t="s">
        <v>1835</v>
      </c>
      <c r="P34" s="2073" t="s">
        <v>1836</v>
      </c>
      <c r="Q34" s="2073" t="s">
        <v>1837</v>
      </c>
      <c r="R34" s="2073" t="s">
        <v>1838</v>
      </c>
      <c r="S34" s="3028" t="s">
        <v>1839</v>
      </c>
      <c r="T34" s="2133" t="str">
        <f>NUMBERSTRING(7-K34,1)&amp;"通"</f>
        <v>七通</v>
      </c>
      <c r="U34" s="2030"/>
      <c r="V34" s="2030"/>
    </row>
    <row r="35" spans="1:22" ht="18" customHeight="1">
      <c r="A35" s="2134"/>
      <c r="B35" s="3035" t="s">
        <v>1840</v>
      </c>
      <c r="C35" s="3035"/>
      <c r="D35" s="3035"/>
      <c r="E35" s="3035"/>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8"/>
      <c r="T35" s="48" t="str">
        <f>IF(T34="一通",L35,IF(T34="二通",M35,IF(T34="三通",N35,IF(T34="四通",O35,IF(T34="五通",P35,IF(T34="六通",Q35,R35))))))</f>
        <v>通路、通电、通讯、通上水、通下水、燃气、</v>
      </c>
      <c r="U35" s="2030"/>
      <c r="V35" s="2030"/>
    </row>
    <row r="36" spans="1:22" ht="18" customHeight="1">
      <c r="A36" s="2136"/>
      <c r="B36" s="2135" t="s">
        <v>1841</v>
      </c>
      <c r="C36" s="2135" t="s">
        <v>1842</v>
      </c>
      <c r="D36" s="2135" t="s">
        <v>1843</v>
      </c>
      <c r="E36" s="2135" t="s">
        <v>1844</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1845</v>
      </c>
      <c r="B37" s="2139" t="s">
        <v>269</v>
      </c>
      <c r="C37" s="2139" t="s">
        <v>269</v>
      </c>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1846</v>
      </c>
      <c r="B38" s="2141" t="s">
        <v>322</v>
      </c>
      <c r="C38" s="2141" t="s">
        <v>353</v>
      </c>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1848</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1849</v>
      </c>
      <c r="B42" s="1796" t="s">
        <v>1850</v>
      </c>
      <c r="C42" s="1796" t="s">
        <v>1851</v>
      </c>
      <c r="D42" s="1796" t="s">
        <v>1852</v>
      </c>
      <c r="E42" s="1796" t="s">
        <v>1853</v>
      </c>
      <c r="F42" s="1796" t="s">
        <v>1854</v>
      </c>
      <c r="G42" s="1796" t="s">
        <v>1855</v>
      </c>
      <c r="H42" s="1796" t="s">
        <v>1856</v>
      </c>
      <c r="I42" s="1796" t="s">
        <v>1857</v>
      </c>
      <c r="J42" s="2151" t="s">
        <v>1858</v>
      </c>
      <c r="K42" s="2074" t="s">
        <v>1859</v>
      </c>
      <c r="L42" s="2074" t="s">
        <v>1860</v>
      </c>
      <c r="M42" s="2074" t="s">
        <v>1861</v>
      </c>
      <c r="N42" s="1796" t="s">
        <v>1862</v>
      </c>
      <c r="O42" s="1796" t="s">
        <v>1863</v>
      </c>
      <c r="P42" s="1796" t="s">
        <v>1864</v>
      </c>
      <c r="Q42" s="2073" t="s">
        <v>1865</v>
      </c>
      <c r="R42" s="2073" t="s">
        <v>1866</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5235.2</v>
      </c>
      <c r="B3" s="14">
        <f>IF(C3="否",G5-AT5,G5)</f>
        <v>50120.32</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4"/>
      <c r="C5" s="1804"/>
      <c r="D5" s="1807"/>
      <c r="E5" s="16" t="s">
        <v>1</v>
      </c>
      <c r="F5" s="16">
        <f>SUM(F13:F587)</f>
        <v>0</v>
      </c>
      <c r="G5" s="16">
        <f>SUM(G13:G587)</f>
        <v>50120.32</v>
      </c>
      <c r="H5" s="16">
        <f t="shared" ref="H5:AT5" si="0">SUM(H13:H656)</f>
        <v>49447.659999999996</v>
      </c>
      <c r="I5" s="16">
        <f t="shared" si="0"/>
        <v>6074.74</v>
      </c>
      <c r="J5" s="16">
        <f t="shared" si="0"/>
        <v>0</v>
      </c>
      <c r="K5" s="16">
        <f t="shared" si="0"/>
        <v>16984.89</v>
      </c>
      <c r="L5" s="16">
        <f t="shared" si="0"/>
        <v>0</v>
      </c>
      <c r="M5" s="16">
        <f t="shared" si="0"/>
        <v>22273.279999999999</v>
      </c>
      <c r="N5" s="16">
        <f t="shared" si="0"/>
        <v>0</v>
      </c>
      <c r="O5" s="16">
        <f t="shared" si="0"/>
        <v>4114.75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672.66000000000008</v>
      </c>
      <c r="AD5" s="16">
        <f t="shared" si="0"/>
        <v>0</v>
      </c>
      <c r="AE5" s="16">
        <f t="shared" si="0"/>
        <v>0</v>
      </c>
      <c r="AF5" s="16">
        <f t="shared" si="0"/>
        <v>0</v>
      </c>
      <c r="AG5" s="16">
        <f t="shared" si="0"/>
        <v>0</v>
      </c>
      <c r="AH5" s="16">
        <f t="shared" si="0"/>
        <v>0</v>
      </c>
      <c r="AI5" s="16">
        <f t="shared" si="0"/>
        <v>0</v>
      </c>
      <c r="AJ5" s="16">
        <f t="shared" si="0"/>
        <v>672.66000000000008</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50120.32</v>
      </c>
      <c r="BA5" s="18">
        <f t="shared" si="1"/>
        <v>49447.659999999996</v>
      </c>
      <c r="BB5" s="18">
        <f t="shared" si="1"/>
        <v>6074.74</v>
      </c>
      <c r="BC5" s="18">
        <f t="shared" si="1"/>
        <v>16984.89</v>
      </c>
      <c r="BD5" s="18">
        <f t="shared" si="1"/>
        <v>22273.279999999999</v>
      </c>
      <c r="BE5" s="18">
        <f t="shared" si="1"/>
        <v>4114.75</v>
      </c>
      <c r="BF5" s="18">
        <f t="shared" si="1"/>
        <v>0</v>
      </c>
      <c r="BG5" s="18">
        <f t="shared" si="1"/>
        <v>0</v>
      </c>
      <c r="BH5" s="18">
        <f t="shared" si="1"/>
        <v>0</v>
      </c>
      <c r="BI5" s="18">
        <f t="shared" si="1"/>
        <v>0</v>
      </c>
      <c r="BJ5" s="18">
        <f t="shared" si="1"/>
        <v>0</v>
      </c>
      <c r="BK5" s="18">
        <f t="shared" si="1"/>
        <v>0</v>
      </c>
      <c r="BL5" s="18">
        <f t="shared" si="1"/>
        <v>672.66000000000008</v>
      </c>
      <c r="BM5" s="18">
        <f t="shared" si="1"/>
        <v>0</v>
      </c>
      <c r="BN5" s="18">
        <f t="shared" si="1"/>
        <v>0</v>
      </c>
      <c r="BO5" s="18">
        <f t="shared" si="1"/>
        <v>0</v>
      </c>
      <c r="BP5" s="18">
        <f t="shared" si="1"/>
        <v>672.66000000000008</v>
      </c>
      <c r="BQ5" s="18">
        <f t="shared" si="1"/>
        <v>0</v>
      </c>
      <c r="BR5" s="18">
        <f t="shared" si="1"/>
        <v>0</v>
      </c>
      <c r="BS5" s="18">
        <f t="shared" si="1"/>
        <v>0</v>
      </c>
      <c r="BT5" s="19">
        <f t="shared" si="1"/>
        <v>0</v>
      </c>
    </row>
    <row r="6" spans="1:72" s="2176" customFormat="1" ht="12.75">
      <c r="A6" s="15" t="s">
        <v>1877</v>
      </c>
      <c r="B6" s="2173"/>
      <c r="C6" s="2173"/>
      <c r="D6" s="2174"/>
      <c r="E6" s="16">
        <f>H6+AC6+AT6</f>
        <v>5235.2</v>
      </c>
      <c r="F6" s="16" t="s">
        <v>1</v>
      </c>
      <c r="G6" s="16" t="s">
        <v>2</v>
      </c>
      <c r="H6" s="20">
        <f>SUMIF(I$12:AB$12,"总值",I6:AB6)</f>
        <v>5164.9399999999996</v>
      </c>
      <c r="I6" s="16">
        <f t="shared" ref="I6:AB6" si="2">ROUND($A$3*I5/$B$3,2)</f>
        <v>634.52</v>
      </c>
      <c r="J6" s="16">
        <f t="shared" si="2"/>
        <v>0</v>
      </c>
      <c r="K6" s="16">
        <f t="shared" si="2"/>
        <v>1774.12</v>
      </c>
      <c r="L6" s="16">
        <f t="shared" si="2"/>
        <v>0</v>
      </c>
      <c r="M6" s="16">
        <f t="shared" si="2"/>
        <v>2326.5</v>
      </c>
      <c r="N6" s="16">
        <f t="shared" si="2"/>
        <v>0</v>
      </c>
      <c r="O6" s="16">
        <f t="shared" si="2"/>
        <v>429.8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70.260000000000005</v>
      </c>
      <c r="AD6" s="16">
        <f t="shared" ref="AD6:AS6" si="3">ROUND($A$3*AD5/$B$3,2)</f>
        <v>0</v>
      </c>
      <c r="AE6" s="16">
        <f t="shared" si="3"/>
        <v>0</v>
      </c>
      <c r="AF6" s="16">
        <f t="shared" si="3"/>
        <v>0</v>
      </c>
      <c r="AG6" s="16">
        <f t="shared" si="3"/>
        <v>0</v>
      </c>
      <c r="AH6" s="16">
        <f t="shared" si="3"/>
        <v>0</v>
      </c>
      <c r="AI6" s="16">
        <f t="shared" si="3"/>
        <v>0</v>
      </c>
      <c r="AJ6" s="16">
        <f t="shared" si="3"/>
        <v>70.260000000000005</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5235.2</v>
      </c>
      <c r="AZ6" s="16" t="s">
        <v>3</v>
      </c>
      <c r="BA6" s="16">
        <f>ROUND($AY$6*BA5/$AZ$5,2)</f>
        <v>5164.9399999999996</v>
      </c>
      <c r="BB6" s="16">
        <f>ROUND($AY$6*BB5/$AZ$5,2)</f>
        <v>634.52</v>
      </c>
      <c r="BC6" s="16">
        <f t="shared" ref="BC6:BH6" si="4">ROUND($AY$6*BC5/$AZ$5,2)</f>
        <v>1774.12</v>
      </c>
      <c r="BD6" s="16">
        <f t="shared" si="4"/>
        <v>2326.5</v>
      </c>
      <c r="BE6" s="16">
        <f t="shared" si="4"/>
        <v>429.8</v>
      </c>
      <c r="BF6" s="16">
        <f t="shared" si="4"/>
        <v>0</v>
      </c>
      <c r="BG6" s="16">
        <f t="shared" si="4"/>
        <v>0</v>
      </c>
      <c r="BH6" s="16">
        <f t="shared" si="4"/>
        <v>0</v>
      </c>
      <c r="BI6" s="16">
        <f t="shared" ref="BI6:BT6" si="5">ROUND($AY$6*BI5/$AZ$5,2)</f>
        <v>0</v>
      </c>
      <c r="BJ6" s="16">
        <f t="shared" si="5"/>
        <v>0</v>
      </c>
      <c r="BK6" s="16">
        <f t="shared" si="5"/>
        <v>0</v>
      </c>
      <c r="BL6" s="16">
        <f t="shared" si="5"/>
        <v>70.260000000000005</v>
      </c>
      <c r="BM6" s="16">
        <f t="shared" si="5"/>
        <v>0</v>
      </c>
      <c r="BN6" s="16">
        <f t="shared" si="5"/>
        <v>0</v>
      </c>
      <c r="BO6" s="16">
        <f t="shared" si="5"/>
        <v>0</v>
      </c>
      <c r="BP6" s="16">
        <f t="shared" si="5"/>
        <v>70.260000000000005</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1885</v>
      </c>
      <c r="AV7" s="23" t="s">
        <v>1886</v>
      </c>
      <c r="AW7" s="2165" t="s">
        <v>1887</v>
      </c>
      <c r="AX7" s="23" t="s">
        <v>1880</v>
      </c>
      <c r="AY7" s="1804"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9"/>
      <c r="K8" s="1819"/>
      <c r="L8" s="1819"/>
      <c r="M8" s="1819"/>
      <c r="N8" s="1819"/>
      <c r="O8" s="1819"/>
      <c r="P8" s="1819"/>
      <c r="Q8" s="1819"/>
      <c r="R8" s="1819"/>
      <c r="S8" s="1819"/>
      <c r="T8" s="1819"/>
      <c r="U8" s="1819"/>
      <c r="V8" s="2185"/>
      <c r="W8" s="1819"/>
      <c r="X8" s="1819"/>
      <c r="Y8" s="1819"/>
      <c r="Z8" s="1819"/>
      <c r="AA8" s="2185"/>
      <c r="AB8" s="2186"/>
      <c r="AC8" s="982" t="s">
        <v>1891</v>
      </c>
      <c r="AD8" s="2187"/>
      <c r="AE8" s="2179"/>
      <c r="AF8" s="1819"/>
      <c r="AG8" s="1819"/>
      <c r="AH8" s="1819"/>
      <c r="AI8" s="1819"/>
      <c r="AJ8" s="1819"/>
      <c r="AK8" s="1819"/>
      <c r="AL8" s="1819"/>
      <c r="AM8" s="1819"/>
      <c r="AN8" s="1819"/>
      <c r="AO8" s="1819"/>
      <c r="AP8" s="1819"/>
      <c r="AQ8" s="1819"/>
      <c r="AR8" s="1819"/>
      <c r="AS8" s="1819"/>
      <c r="AT8" s="1293" t="s">
        <v>1892</v>
      </c>
      <c r="AU8" s="2181" t="s">
        <v>1893</v>
      </c>
      <c r="AV8" s="1293"/>
      <c r="AW8" s="2164"/>
      <c r="AX8" s="1293"/>
      <c r="AY8" s="2165"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1896</v>
      </c>
      <c r="I9" s="2190" t="s">
        <v>3049</v>
      </c>
      <c r="J9" s="982"/>
      <c r="K9" s="2190" t="s">
        <v>3051</v>
      </c>
      <c r="L9" s="982"/>
      <c r="M9" s="2190" t="s">
        <v>3051</v>
      </c>
      <c r="N9" s="982"/>
      <c r="O9" s="2190" t="s">
        <v>3049</v>
      </c>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9"/>
      <c r="BN9" s="2184"/>
      <c r="BO9" s="1819"/>
      <c r="BP9" s="1819"/>
      <c r="BQ9" s="1819"/>
      <c r="BR9" s="1819"/>
      <c r="BS9" s="1819"/>
      <c r="BT9" s="26"/>
    </row>
    <row r="10" spans="1:72" s="2188" customFormat="1" ht="12.75">
      <c r="A10" s="2181"/>
      <c r="B10" s="2181"/>
      <c r="C10" s="2181"/>
      <c r="D10" s="2181"/>
      <c r="E10" s="2181"/>
      <c r="F10" s="2181"/>
      <c r="G10" s="1293"/>
      <c r="H10" s="28"/>
      <c r="I10" s="2190" t="s">
        <v>3050</v>
      </c>
      <c r="J10" s="982"/>
      <c r="K10" s="2196" t="s">
        <v>1377</v>
      </c>
      <c r="L10" s="982"/>
      <c r="M10" s="2196" t="s">
        <v>27</v>
      </c>
      <c r="N10" s="982"/>
      <c r="O10" s="2196" t="s">
        <v>1377</v>
      </c>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地下</v>
      </c>
      <c r="BC10" s="29" t="str">
        <f>K9</f>
        <v>地上</v>
      </c>
      <c r="BD10" s="29" t="str">
        <f>M9</f>
        <v>地上</v>
      </c>
      <c r="BE10" s="29" t="str">
        <f>O9</f>
        <v>地下</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c r="J11" s="2202"/>
      <c r="K11" s="2201" t="s">
        <v>3052</v>
      </c>
      <c r="L11" s="2202"/>
      <c r="M11" s="2201"/>
      <c r="N11" s="2202"/>
      <c r="O11" s="2201"/>
      <c r="P11" s="2202"/>
      <c r="Q11" s="2201"/>
      <c r="R11" s="2202"/>
      <c r="S11" s="2201"/>
      <c r="T11" s="2202"/>
      <c r="U11" s="2201"/>
      <c r="V11" s="2202"/>
      <c r="W11" s="2201"/>
      <c r="X11" s="2202"/>
      <c r="Y11" s="2201"/>
      <c r="Z11" s="2202"/>
      <c r="AA11" s="2201"/>
      <c r="AB11" s="2202"/>
      <c r="AC11" s="1293"/>
      <c r="AD11" s="2203" t="s">
        <v>1906</v>
      </c>
      <c r="AE11" s="1820"/>
      <c r="AF11" s="2203" t="s">
        <v>1906</v>
      </c>
      <c r="AG11" s="1820"/>
      <c r="AH11" s="2203" t="s">
        <v>1907</v>
      </c>
      <c r="AI11" s="2204"/>
      <c r="AJ11" s="2203" t="s">
        <v>1907</v>
      </c>
      <c r="AK11" s="1820"/>
      <c r="AL11" s="1818"/>
      <c r="AM11" s="1820"/>
      <c r="AN11" s="1818"/>
      <c r="AO11" s="1820"/>
      <c r="AP11" s="1818"/>
      <c r="AQ11" s="1820"/>
      <c r="AR11" s="1818"/>
      <c r="AS11" s="1820"/>
      <c r="AT11" s="2164"/>
      <c r="AU11" s="2181"/>
      <c r="AV11" s="1293"/>
      <c r="AW11" s="2164"/>
      <c r="AX11" s="1293"/>
      <c r="AY11" s="28"/>
      <c r="AZ11" s="28"/>
      <c r="BA11" s="28"/>
      <c r="BB11" s="2186" t="str">
        <f>I10</f>
        <v>车库</v>
      </c>
      <c r="BC11" s="2186" t="str">
        <f>K10</f>
        <v>商业</v>
      </c>
      <c r="BD11" s="2186" t="str">
        <f>M10</f>
        <v>办公</v>
      </c>
      <c r="BE11" s="2186" t="str">
        <f>O10</f>
        <v>商业</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8"/>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t="str">
        <f>K11</f>
        <v>酒店</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v>-301</v>
      </c>
      <c r="D13" s="2212" t="s">
        <v>3048</v>
      </c>
      <c r="E13" s="16">
        <f>IF($C$3="是",ROUND($A$3*G13/$B$3,2),ROUND($A$3*(G13-AT13)/$B$3,2))</f>
        <v>412.17</v>
      </c>
      <c r="F13" s="32"/>
      <c r="G13" s="33">
        <f>H13+AC13+AT13</f>
        <v>3945.98</v>
      </c>
      <c r="H13" s="20">
        <f>SUMIF(I$12:AB$12,"总值",I13:AB13)</f>
        <v>3945.98</v>
      </c>
      <c r="I13" s="2213">
        <v>3945.98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-301</v>
      </c>
      <c r="AY13" s="1807">
        <f>ROUND($AY$6*AZ13/$AZ$5,2)</f>
        <v>412.17</v>
      </c>
      <c r="AZ13" s="16">
        <f>BA13+BL13</f>
        <v>3945.98</v>
      </c>
      <c r="BA13" s="16">
        <f>SUM(BB13:BK13)</f>
        <v>3945.98</v>
      </c>
      <c r="BB13" s="16">
        <f>IF($D13="是",I13-J13,0)</f>
        <v>3945.98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1273">
        <v>-302</v>
      </c>
      <c r="D14" s="2212" t="s">
        <v>3048</v>
      </c>
      <c r="E14" s="16">
        <f>IF($C$3="是",ROUND($A$3*G14/$B$3,2),ROUND($A$3*(G14-AT14)/$B$3,2))</f>
        <v>6.07</v>
      </c>
      <c r="F14" s="32"/>
      <c r="G14" s="33">
        <f>H14+AC14+AT14</f>
        <v>58.07</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58.07</v>
      </c>
      <c r="AD14" s="2214"/>
      <c r="AE14" s="2214"/>
      <c r="AF14" s="2214"/>
      <c r="AG14" s="2214"/>
      <c r="AH14" s="2214"/>
      <c r="AI14" s="2214"/>
      <c r="AJ14" s="2214">
        <v>58.07</v>
      </c>
      <c r="AK14" s="2214"/>
      <c r="AL14" s="2214"/>
      <c r="AM14" s="2214"/>
      <c r="AN14" s="2214"/>
      <c r="AO14" s="2214"/>
      <c r="AP14" s="2214"/>
      <c r="AQ14" s="2214"/>
      <c r="AR14" s="2214"/>
      <c r="AS14" s="2214"/>
      <c r="AT14" s="2215"/>
      <c r="AU14" s="2216"/>
      <c r="AV14" s="11">
        <f t="shared" si="6"/>
        <v>0</v>
      </c>
      <c r="AW14" s="11">
        <f t="shared" si="6"/>
        <v>0</v>
      </c>
      <c r="AX14" s="11">
        <f t="shared" si="6"/>
        <v>-302</v>
      </c>
      <c r="AY14" s="1807">
        <f>ROUND($AY$6*AZ14/$AZ$5,2)</f>
        <v>6.07</v>
      </c>
      <c r="AZ14" s="16">
        <f>BA14+BL14</f>
        <v>58.07</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58.07</v>
      </c>
      <c r="BM14" s="16">
        <f>IF($D14="是",AD14-AE14,0)</f>
        <v>0</v>
      </c>
      <c r="BN14" s="16">
        <f>IF($D14="是",AF14-AG14,0)</f>
        <v>0</v>
      </c>
      <c r="BO14" s="16">
        <f>IF($D14="是",AH14-AI14,0)</f>
        <v>0</v>
      </c>
      <c r="BP14" s="16">
        <f>IF($D14="是",AJ14-AK14,0)</f>
        <v>58.07</v>
      </c>
      <c r="BQ14" s="16">
        <f>IF($D14="是",AL14-AM14,0)</f>
        <v>0</v>
      </c>
      <c r="BR14" s="16">
        <f>IF($D14="是",AN14-AO14,0)</f>
        <v>0</v>
      </c>
      <c r="BS14" s="16">
        <f>IF($D14="是",AP14-AQ14,0)</f>
        <v>0</v>
      </c>
      <c r="BT14" s="22">
        <f>IF($D14="是",AR14-AS14,0)</f>
        <v>0</v>
      </c>
    </row>
    <row r="15" spans="1:72" s="2166" customFormat="1" ht="12.75">
      <c r="A15" s="1273"/>
      <c r="B15" s="1273"/>
      <c r="C15" s="1273">
        <v>-203</v>
      </c>
      <c r="D15" s="2212" t="s">
        <v>3048</v>
      </c>
      <c r="E15" s="16">
        <f>IF($C$3="是",ROUND($A$3*G15/$B$3,2),ROUND($A$3*(G15-AT15)/$B$3,2))</f>
        <v>64.2</v>
      </c>
      <c r="F15" s="32"/>
      <c r="G15" s="33">
        <f>H15+AC15+AT15</f>
        <v>614.59</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614.59</v>
      </c>
      <c r="AD15" s="2214"/>
      <c r="AE15" s="2214"/>
      <c r="AF15" s="2214"/>
      <c r="AG15" s="2214"/>
      <c r="AH15" s="2214"/>
      <c r="AI15" s="2214"/>
      <c r="AJ15" s="2214">
        <v>614.59</v>
      </c>
      <c r="AK15" s="2214"/>
      <c r="AL15" s="2214"/>
      <c r="AM15" s="2214"/>
      <c r="AN15" s="2214"/>
      <c r="AO15" s="2214"/>
      <c r="AP15" s="2214"/>
      <c r="AQ15" s="2214"/>
      <c r="AR15" s="2214"/>
      <c r="AS15" s="2214"/>
      <c r="AT15" s="2215"/>
      <c r="AU15" s="2216"/>
      <c r="AV15" s="11">
        <f t="shared" si="6"/>
        <v>0</v>
      </c>
      <c r="AW15" s="11">
        <f t="shared" si="6"/>
        <v>0</v>
      </c>
      <c r="AX15" s="11">
        <f t="shared" si="6"/>
        <v>-203</v>
      </c>
      <c r="AY15" s="1807">
        <f>ROUND($AY$6*AZ15/$AZ$5,2)</f>
        <v>64.2</v>
      </c>
      <c r="AZ15" s="16">
        <f>BA15+BL15</f>
        <v>614.59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614.59</v>
      </c>
      <c r="BM15" s="16">
        <f>IF($D15="是",AD15-AE15,0)</f>
        <v>0</v>
      </c>
      <c r="BN15" s="16">
        <f>IF($D15="是",AF15-AG15,0)</f>
        <v>0</v>
      </c>
      <c r="BO15" s="16">
        <f>IF($D15="是",AH15-AI15,0)</f>
        <v>0</v>
      </c>
      <c r="BP15" s="16">
        <f>IF($D15="是",AJ15-AK15,0)</f>
        <v>614.59</v>
      </c>
      <c r="BQ15" s="16">
        <f>IF($D15="是",AL15-AM15,0)</f>
        <v>0</v>
      </c>
      <c r="BR15" s="16">
        <f>IF($D15="是",AN15-AO15,0)</f>
        <v>0</v>
      </c>
      <c r="BS15" s="16">
        <f>IF($D15="是",AP15-AQ15,0)</f>
        <v>0</v>
      </c>
      <c r="BT15" s="22">
        <f>IF($D15="是",AR15-AS15,0)</f>
        <v>0</v>
      </c>
    </row>
    <row r="16" spans="1:72" s="2166" customFormat="1" ht="12.75">
      <c r="A16" s="1273"/>
      <c r="B16" s="1273"/>
      <c r="C16" s="1273">
        <v>-204</v>
      </c>
      <c r="D16" s="2212" t="s">
        <v>3048</v>
      </c>
      <c r="E16" s="16">
        <f>IF($C$3="是",ROUND($A$3*G16/$B$3,2),ROUND($A$3*(G16-AT16)/$B$3,2))</f>
        <v>222.35</v>
      </c>
      <c r="F16" s="32"/>
      <c r="G16" s="33">
        <f>H16+AC16+AT16</f>
        <v>2128.7600000000002</v>
      </c>
      <c r="H16" s="20">
        <f>SUMIF(I$12:AB$12,"总值",I16:AB16)</f>
        <v>2128.7600000000002</v>
      </c>
      <c r="I16" s="2213">
        <v>2128.7600000000002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-204</v>
      </c>
      <c r="AY16" s="1807">
        <f>ROUND($AY$6*AZ16/$AZ$5,2)</f>
        <v>222.35</v>
      </c>
      <c r="AZ16" s="16">
        <f>BA16+BL16</f>
        <v>2128.7600000000002</v>
      </c>
      <c r="BA16" s="16">
        <f>SUM(BB16:BK16)</f>
        <v>2128.7600000000002</v>
      </c>
      <c r="BB16" s="16">
        <f>IF($D16="是",I16-J16,0)</f>
        <v>2128.7600000000002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2960" t="s">
        <v>3046</v>
      </c>
      <c r="B17" s="1273">
        <f>ROUND(K17/B3*A3,2)</f>
        <v>1774.12</v>
      </c>
      <c r="C17" s="1273">
        <v>101</v>
      </c>
      <c r="D17" s="2212" t="s">
        <v>3048</v>
      </c>
      <c r="E17" s="16">
        <f>IF($C$3="是",ROUND($A$3*G17/$B$3,2),ROUND($A$3*(G17-AT17)/$B$3,2))</f>
        <v>2203.91</v>
      </c>
      <c r="F17" s="32"/>
      <c r="G17" s="33">
        <f>H17+AC17+AT17</f>
        <v>21099.64</v>
      </c>
      <c r="H17" s="20">
        <f>SUMIF(I$12:AB$12,"总值",I17:AB17)</f>
        <v>21099.64</v>
      </c>
      <c r="I17" s="2213"/>
      <c r="J17" s="2213"/>
      <c r="K17" s="2213">
        <f>21099.64-'数据-基础表'!O17</f>
        <v>16984.89</v>
      </c>
      <c r="L17" s="2213"/>
      <c r="M17" s="2213"/>
      <c r="N17" s="2213"/>
      <c r="O17" s="2213">
        <f>4150.85-36.1</f>
        <v>4114.75</v>
      </c>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t="str">
        <f t="shared" si="6"/>
        <v>商业</v>
      </c>
      <c r="AW17" s="11">
        <f t="shared" si="6"/>
        <v>1774.12</v>
      </c>
      <c r="AX17" s="11">
        <f t="shared" si="6"/>
        <v>101</v>
      </c>
      <c r="AY17" s="1807">
        <f>ROUND($AY$6*AZ17/$AZ$5,2)</f>
        <v>2203.91</v>
      </c>
      <c r="AZ17" s="16">
        <f>BA17+BL17</f>
        <v>21099.64</v>
      </c>
      <c r="BA17" s="16">
        <f>SUM(BB17:BK17)</f>
        <v>21099.64</v>
      </c>
      <c r="BB17" s="16">
        <f>IF($D17="是",I17-J17,0)</f>
        <v>0</v>
      </c>
      <c r="BC17" s="16">
        <f>IF($D17="是",K17-L17,0)</f>
        <v>16984.89</v>
      </c>
      <c r="BD17" s="16">
        <f>IF($D17="是",M17-N17,0)</f>
        <v>0</v>
      </c>
      <c r="BE17" s="16">
        <f>IF($D17="是",O17-P17,0)</f>
        <v>4114.75</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2961" t="s">
        <v>3047</v>
      </c>
      <c r="B18" s="2962">
        <f>A3-B17</f>
        <v>3461.08</v>
      </c>
      <c r="C18" s="34">
        <v>1101</v>
      </c>
      <c r="D18" s="2212" t="s">
        <v>3048</v>
      </c>
      <c r="E18" s="35">
        <f t="shared" ref="E18:E112" si="7">IF($C$3="是",ROUND($A$3*G18/$B$3,2),ROUND($A$3*(G18-AT18)/$B$3,2))</f>
        <v>52.15</v>
      </c>
      <c r="F18" s="36"/>
      <c r="G18" s="37">
        <f t="shared" ref="G18:G109" si="8">H18+AC18+AT18</f>
        <v>499.28</v>
      </c>
      <c r="H18" s="38">
        <f t="shared" ref="H18:H109" si="9">SUMIF(I$12:AB$12,"总值",I18:AB18)</f>
        <v>499.28</v>
      </c>
      <c r="I18" s="39"/>
      <c r="J18" s="39"/>
      <c r="K18" s="39"/>
      <c r="L18" s="39"/>
      <c r="M18" s="39">
        <v>499.28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t="str">
        <f t="shared" ref="AV18:AV112" si="11">A18</f>
        <v>办公、车库</v>
      </c>
      <c r="AW18" s="1796">
        <f t="shared" ref="AW18:AW112" si="12">B18</f>
        <v>3461.08</v>
      </c>
      <c r="AX18" s="1796">
        <f t="shared" ref="AX18:AX112" si="13">C18</f>
        <v>1101</v>
      </c>
      <c r="AY18" s="42">
        <f t="shared" ref="AY18:AY109" si="14">ROUND($AY$6*AZ18/$AZ$5,2)</f>
        <v>52.15</v>
      </c>
      <c r="AZ18" s="35">
        <f t="shared" ref="AZ18:AZ109" si="15">BA18+BL18</f>
        <v>499.28</v>
      </c>
      <c r="BA18" s="35">
        <f t="shared" ref="BA18:BA109" si="16">SUM(BB18:BK18)</f>
        <v>499.28</v>
      </c>
      <c r="BB18" s="35">
        <f t="shared" ref="BB18:BB109" si="17">IF($D18="是",I18-J18,0)</f>
        <v>0</v>
      </c>
      <c r="BC18" s="35">
        <f t="shared" ref="BC18:BC109" si="18">IF($D18="是",K18-L18,0)</f>
        <v>0</v>
      </c>
      <c r="BD18" s="35">
        <f t="shared" ref="BD18:BD109" si="19">IF($D18="是",M18-N18,0)</f>
        <v>499.28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1102</v>
      </c>
      <c r="D19" s="2212" t="s">
        <v>3048</v>
      </c>
      <c r="E19" s="35">
        <f t="shared" si="7"/>
        <v>52.46</v>
      </c>
      <c r="F19" s="36"/>
      <c r="G19" s="37">
        <f t="shared" si="8"/>
        <v>502.28</v>
      </c>
      <c r="H19" s="38">
        <f t="shared" si="9"/>
        <v>502.28</v>
      </c>
      <c r="I19" s="39"/>
      <c r="J19" s="39"/>
      <c r="K19" s="39"/>
      <c r="L19" s="39"/>
      <c r="M19" s="39">
        <v>502.28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1102</v>
      </c>
      <c r="AY19" s="42">
        <f t="shared" si="14"/>
        <v>52.46</v>
      </c>
      <c r="AZ19" s="35">
        <f t="shared" si="15"/>
        <v>502.28</v>
      </c>
      <c r="BA19" s="35">
        <f t="shared" si="16"/>
        <v>502.28</v>
      </c>
      <c r="BB19" s="35">
        <f t="shared" si="17"/>
        <v>0</v>
      </c>
      <c r="BC19" s="35">
        <f t="shared" si="18"/>
        <v>0</v>
      </c>
      <c r="BD19" s="35">
        <f t="shared" si="19"/>
        <v>502.28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1103</v>
      </c>
      <c r="D20" s="2212" t="s">
        <v>3048</v>
      </c>
      <c r="E20" s="35">
        <f t="shared" si="7"/>
        <v>71.59</v>
      </c>
      <c r="F20" s="36"/>
      <c r="G20" s="37">
        <f t="shared" si="8"/>
        <v>685.34</v>
      </c>
      <c r="H20" s="38">
        <f t="shared" si="9"/>
        <v>685.34</v>
      </c>
      <c r="I20" s="39"/>
      <c r="J20" s="39"/>
      <c r="K20" s="39"/>
      <c r="L20" s="39"/>
      <c r="M20" s="39">
        <v>685.34</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1103</v>
      </c>
      <c r="AY20" s="42">
        <f t="shared" si="14"/>
        <v>71.59</v>
      </c>
      <c r="AZ20" s="35">
        <f t="shared" si="15"/>
        <v>685.34</v>
      </c>
      <c r="BA20" s="35">
        <f t="shared" si="16"/>
        <v>685.34</v>
      </c>
      <c r="BB20" s="35">
        <f t="shared" si="17"/>
        <v>0</v>
      </c>
      <c r="BC20" s="35">
        <f t="shared" si="18"/>
        <v>0</v>
      </c>
      <c r="BD20" s="35">
        <f t="shared" si="19"/>
        <v>685.34</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1104</v>
      </c>
      <c r="D21" s="2212" t="s">
        <v>3048</v>
      </c>
      <c r="E21" s="35">
        <f t="shared" si="7"/>
        <v>35.21</v>
      </c>
      <c r="F21" s="36"/>
      <c r="G21" s="37">
        <f t="shared" si="8"/>
        <v>337.12</v>
      </c>
      <c r="H21" s="38">
        <f t="shared" si="9"/>
        <v>337.12</v>
      </c>
      <c r="I21" s="39"/>
      <c r="J21" s="39"/>
      <c r="K21" s="39"/>
      <c r="L21" s="39"/>
      <c r="M21" s="39">
        <v>337.12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1104</v>
      </c>
      <c r="AY21" s="42">
        <f t="shared" si="14"/>
        <v>35.21</v>
      </c>
      <c r="AZ21" s="35">
        <f t="shared" si="15"/>
        <v>337.12</v>
      </c>
      <c r="BA21" s="35">
        <f t="shared" si="16"/>
        <v>337.12</v>
      </c>
      <c r="BB21" s="35">
        <f t="shared" si="17"/>
        <v>0</v>
      </c>
      <c r="BC21" s="35">
        <f t="shared" si="18"/>
        <v>0</v>
      </c>
      <c r="BD21" s="35">
        <f t="shared" si="19"/>
        <v>337.12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1201</v>
      </c>
      <c r="D22" s="2212" t="s">
        <v>3048</v>
      </c>
      <c r="E22" s="35">
        <f t="shared" si="7"/>
        <v>52.15</v>
      </c>
      <c r="F22" s="36"/>
      <c r="G22" s="37">
        <f t="shared" si="8"/>
        <v>499.28</v>
      </c>
      <c r="H22" s="38">
        <f t="shared" si="9"/>
        <v>499.28</v>
      </c>
      <c r="I22" s="39"/>
      <c r="J22" s="39"/>
      <c r="K22" s="39"/>
      <c r="L22" s="39"/>
      <c r="M22" s="39">
        <v>499.28</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1201</v>
      </c>
      <c r="AY22" s="42">
        <f t="shared" si="14"/>
        <v>52.15</v>
      </c>
      <c r="AZ22" s="35">
        <f t="shared" si="15"/>
        <v>499.28</v>
      </c>
      <c r="BA22" s="35">
        <f t="shared" si="16"/>
        <v>499.28</v>
      </c>
      <c r="BB22" s="35">
        <f t="shared" si="17"/>
        <v>0</v>
      </c>
      <c r="BC22" s="35">
        <f t="shared" si="18"/>
        <v>0</v>
      </c>
      <c r="BD22" s="35">
        <f t="shared" si="19"/>
        <v>499.28</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K17/10</f>
        <v>1698.489</v>
      </c>
      <c r="B23" s="34"/>
      <c r="C23" s="34">
        <v>1202</v>
      </c>
      <c r="D23" s="2212" t="s">
        <v>3048</v>
      </c>
      <c r="E23" s="35">
        <f t="shared" si="7"/>
        <v>52.46</v>
      </c>
      <c r="F23" s="36"/>
      <c r="G23" s="37">
        <f t="shared" si="8"/>
        <v>502.28</v>
      </c>
      <c r="H23" s="38">
        <f t="shared" si="9"/>
        <v>502.28</v>
      </c>
      <c r="I23" s="39"/>
      <c r="J23" s="39"/>
      <c r="K23" s="39"/>
      <c r="L23" s="39"/>
      <c r="M23" s="39">
        <v>502.28</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1698.489</v>
      </c>
      <c r="AW23" s="1796">
        <f t="shared" si="12"/>
        <v>0</v>
      </c>
      <c r="AX23" s="1796">
        <f t="shared" si="13"/>
        <v>1202</v>
      </c>
      <c r="AY23" s="42">
        <f t="shared" si="14"/>
        <v>52.46</v>
      </c>
      <c r="AZ23" s="35">
        <f t="shared" si="15"/>
        <v>502.28</v>
      </c>
      <c r="BA23" s="35">
        <f t="shared" si="16"/>
        <v>502.28</v>
      </c>
      <c r="BB23" s="35">
        <f t="shared" si="17"/>
        <v>0</v>
      </c>
      <c r="BC23" s="35">
        <f t="shared" si="18"/>
        <v>0</v>
      </c>
      <c r="BD23" s="35">
        <f t="shared" si="19"/>
        <v>502.28</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1203</v>
      </c>
      <c r="D24" s="2212" t="s">
        <v>3048</v>
      </c>
      <c r="E24" s="35">
        <f t="shared" si="7"/>
        <v>71.59</v>
      </c>
      <c r="F24" s="36"/>
      <c r="G24" s="37">
        <f t="shared" si="8"/>
        <v>685.34</v>
      </c>
      <c r="H24" s="38">
        <f t="shared" si="9"/>
        <v>685.34</v>
      </c>
      <c r="I24" s="39"/>
      <c r="J24" s="39"/>
      <c r="K24" s="39"/>
      <c r="L24" s="39"/>
      <c r="M24" s="39">
        <v>685.34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1203</v>
      </c>
      <c r="AY24" s="42">
        <f t="shared" si="14"/>
        <v>71.59</v>
      </c>
      <c r="AZ24" s="35">
        <f t="shared" si="15"/>
        <v>685.34</v>
      </c>
      <c r="BA24" s="35">
        <f t="shared" si="16"/>
        <v>685.34</v>
      </c>
      <c r="BB24" s="35">
        <f t="shared" si="17"/>
        <v>0</v>
      </c>
      <c r="BC24" s="35">
        <f t="shared" si="18"/>
        <v>0</v>
      </c>
      <c r="BD24" s="35">
        <f t="shared" si="19"/>
        <v>685.34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v>1204</v>
      </c>
      <c r="D25" s="2212" t="s">
        <v>3048</v>
      </c>
      <c r="E25" s="35">
        <f t="shared" si="7"/>
        <v>35.21</v>
      </c>
      <c r="F25" s="36"/>
      <c r="G25" s="37">
        <f t="shared" si="8"/>
        <v>337.12</v>
      </c>
      <c r="H25" s="38">
        <f t="shared" si="9"/>
        <v>337.12</v>
      </c>
      <c r="I25" s="39"/>
      <c r="J25" s="39"/>
      <c r="K25" s="39"/>
      <c r="L25" s="39"/>
      <c r="M25" s="39">
        <v>337.12</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1204</v>
      </c>
      <c r="AY25" s="42">
        <f t="shared" si="14"/>
        <v>35.21</v>
      </c>
      <c r="AZ25" s="35">
        <f t="shared" si="15"/>
        <v>337.12</v>
      </c>
      <c r="BA25" s="35">
        <f t="shared" si="16"/>
        <v>337.12</v>
      </c>
      <c r="BB25" s="35">
        <f t="shared" si="17"/>
        <v>0</v>
      </c>
      <c r="BC25" s="35">
        <f t="shared" si="18"/>
        <v>0</v>
      </c>
      <c r="BD25" s="35">
        <f t="shared" si="19"/>
        <v>337.12</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1301</v>
      </c>
      <c r="D26" s="2212" t="s">
        <v>3048</v>
      </c>
      <c r="E26" s="35">
        <f t="shared" si="7"/>
        <v>52.15</v>
      </c>
      <c r="F26" s="36"/>
      <c r="G26" s="37">
        <f t="shared" si="8"/>
        <v>499.28</v>
      </c>
      <c r="H26" s="38">
        <f t="shared" si="9"/>
        <v>499.28</v>
      </c>
      <c r="I26" s="39"/>
      <c r="J26" s="39"/>
      <c r="K26" s="39"/>
      <c r="L26" s="39"/>
      <c r="M26" s="39">
        <v>499.28</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1301</v>
      </c>
      <c r="AY26" s="42">
        <f t="shared" si="14"/>
        <v>52.15</v>
      </c>
      <c r="AZ26" s="35">
        <f t="shared" si="15"/>
        <v>499.28</v>
      </c>
      <c r="BA26" s="35">
        <f t="shared" si="16"/>
        <v>499.28</v>
      </c>
      <c r="BB26" s="35">
        <f t="shared" si="17"/>
        <v>0</v>
      </c>
      <c r="BC26" s="35">
        <f t="shared" si="18"/>
        <v>0</v>
      </c>
      <c r="BD26" s="35">
        <f t="shared" si="19"/>
        <v>499.28</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1302</v>
      </c>
      <c r="D27" s="2212" t="s">
        <v>3048</v>
      </c>
      <c r="E27" s="35">
        <f t="shared" si="7"/>
        <v>52.39</v>
      </c>
      <c r="F27" s="36"/>
      <c r="G27" s="37">
        <f t="shared" si="8"/>
        <v>501.58</v>
      </c>
      <c r="H27" s="38">
        <f t="shared" si="9"/>
        <v>501.58</v>
      </c>
      <c r="I27" s="39"/>
      <c r="J27" s="39"/>
      <c r="K27" s="39"/>
      <c r="L27" s="39"/>
      <c r="M27" s="39">
        <v>501.58</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1302</v>
      </c>
      <c r="AY27" s="42">
        <f t="shared" si="14"/>
        <v>52.39</v>
      </c>
      <c r="AZ27" s="35">
        <f t="shared" si="15"/>
        <v>501.58</v>
      </c>
      <c r="BA27" s="35">
        <f t="shared" si="16"/>
        <v>501.58</v>
      </c>
      <c r="BB27" s="35">
        <f t="shared" si="17"/>
        <v>0</v>
      </c>
      <c r="BC27" s="35">
        <f t="shared" si="18"/>
        <v>0</v>
      </c>
      <c r="BD27" s="35">
        <f t="shared" si="19"/>
        <v>501.58</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1303</v>
      </c>
      <c r="D28" s="2212" t="s">
        <v>3048</v>
      </c>
      <c r="E28" s="35">
        <f t="shared" si="7"/>
        <v>71.510000000000005</v>
      </c>
      <c r="F28" s="36"/>
      <c r="G28" s="37">
        <f t="shared" si="8"/>
        <v>684.62</v>
      </c>
      <c r="H28" s="38">
        <f t="shared" si="9"/>
        <v>684.62</v>
      </c>
      <c r="I28" s="39"/>
      <c r="J28" s="39"/>
      <c r="K28" s="39"/>
      <c r="L28" s="39"/>
      <c r="M28" s="39">
        <v>684.62</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1303</v>
      </c>
      <c r="AY28" s="42">
        <f t="shared" si="14"/>
        <v>71.510000000000005</v>
      </c>
      <c r="AZ28" s="35">
        <f t="shared" si="15"/>
        <v>684.62</v>
      </c>
      <c r="BA28" s="35">
        <f t="shared" si="16"/>
        <v>684.62</v>
      </c>
      <c r="BB28" s="35">
        <f t="shared" si="17"/>
        <v>0</v>
      </c>
      <c r="BC28" s="35">
        <f t="shared" si="18"/>
        <v>0</v>
      </c>
      <c r="BD28" s="35">
        <f t="shared" si="19"/>
        <v>684.62</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1304</v>
      </c>
      <c r="D29" s="2212" t="s">
        <v>3048</v>
      </c>
      <c r="E29" s="35">
        <f t="shared" si="7"/>
        <v>35.21</v>
      </c>
      <c r="F29" s="36"/>
      <c r="G29" s="37">
        <f t="shared" si="8"/>
        <v>337.12</v>
      </c>
      <c r="H29" s="38">
        <f t="shared" si="9"/>
        <v>337.12</v>
      </c>
      <c r="I29" s="39"/>
      <c r="J29" s="39"/>
      <c r="K29" s="39"/>
      <c r="L29" s="39"/>
      <c r="M29" s="39">
        <v>337.12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1304</v>
      </c>
      <c r="AY29" s="42">
        <f t="shared" si="14"/>
        <v>35.21</v>
      </c>
      <c r="AZ29" s="35">
        <f t="shared" si="15"/>
        <v>337.12</v>
      </c>
      <c r="BA29" s="35">
        <f t="shared" si="16"/>
        <v>337.12</v>
      </c>
      <c r="BB29" s="35">
        <f t="shared" si="17"/>
        <v>0</v>
      </c>
      <c r="BC29" s="35">
        <f t="shared" si="18"/>
        <v>0</v>
      </c>
      <c r="BD29" s="35">
        <f t="shared" si="19"/>
        <v>337.12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1401</v>
      </c>
      <c r="D30" s="2212" t="s">
        <v>3048</v>
      </c>
      <c r="E30" s="35">
        <f t="shared" si="7"/>
        <v>52.15</v>
      </c>
      <c r="F30" s="36"/>
      <c r="G30" s="37">
        <f t="shared" si="8"/>
        <v>499.28</v>
      </c>
      <c r="H30" s="38">
        <f t="shared" si="9"/>
        <v>499.28</v>
      </c>
      <c r="I30" s="39"/>
      <c r="J30" s="39"/>
      <c r="K30" s="39"/>
      <c r="L30" s="39"/>
      <c r="M30" s="39">
        <v>499.28</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1401</v>
      </c>
      <c r="AY30" s="42">
        <f t="shared" si="14"/>
        <v>52.15</v>
      </c>
      <c r="AZ30" s="35">
        <f t="shared" si="15"/>
        <v>499.28</v>
      </c>
      <c r="BA30" s="35">
        <f t="shared" si="16"/>
        <v>499.28</v>
      </c>
      <c r="BB30" s="35">
        <f t="shared" si="17"/>
        <v>0</v>
      </c>
      <c r="BC30" s="35">
        <f t="shared" si="18"/>
        <v>0</v>
      </c>
      <c r="BD30" s="35">
        <f t="shared" si="19"/>
        <v>499.28</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1402</v>
      </c>
      <c r="D31" s="2212" t="s">
        <v>3048</v>
      </c>
      <c r="E31" s="35">
        <f t="shared" si="7"/>
        <v>52.39</v>
      </c>
      <c r="F31" s="36"/>
      <c r="G31" s="37">
        <f t="shared" si="8"/>
        <v>501.58</v>
      </c>
      <c r="H31" s="38">
        <f t="shared" si="9"/>
        <v>501.58</v>
      </c>
      <c r="I31" s="39"/>
      <c r="J31" s="39"/>
      <c r="K31" s="39"/>
      <c r="L31" s="39"/>
      <c r="M31" s="39">
        <v>501.58</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1402</v>
      </c>
      <c r="AY31" s="42">
        <f t="shared" si="14"/>
        <v>52.39</v>
      </c>
      <c r="AZ31" s="35">
        <f t="shared" si="15"/>
        <v>501.58</v>
      </c>
      <c r="BA31" s="35">
        <f t="shared" si="16"/>
        <v>501.58</v>
      </c>
      <c r="BB31" s="35">
        <f t="shared" si="17"/>
        <v>0</v>
      </c>
      <c r="BC31" s="35">
        <f t="shared" si="18"/>
        <v>0</v>
      </c>
      <c r="BD31" s="35">
        <f t="shared" si="19"/>
        <v>501.58</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1403</v>
      </c>
      <c r="D32" s="2212" t="s">
        <v>3048</v>
      </c>
      <c r="E32" s="35">
        <f t="shared" si="7"/>
        <v>71.510000000000005</v>
      </c>
      <c r="F32" s="36"/>
      <c r="G32" s="37">
        <f t="shared" si="8"/>
        <v>684.62</v>
      </c>
      <c r="H32" s="38">
        <f t="shared" si="9"/>
        <v>684.62</v>
      </c>
      <c r="I32" s="39"/>
      <c r="J32" s="39"/>
      <c r="K32" s="39"/>
      <c r="L32" s="39"/>
      <c r="M32" s="39">
        <v>684.62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1403</v>
      </c>
      <c r="AY32" s="42">
        <f t="shared" si="14"/>
        <v>71.510000000000005</v>
      </c>
      <c r="AZ32" s="35">
        <f t="shared" si="15"/>
        <v>684.62</v>
      </c>
      <c r="BA32" s="35">
        <f t="shared" si="16"/>
        <v>684.62</v>
      </c>
      <c r="BB32" s="35">
        <f t="shared" si="17"/>
        <v>0</v>
      </c>
      <c r="BC32" s="35">
        <f t="shared" si="18"/>
        <v>0</v>
      </c>
      <c r="BD32" s="35">
        <f t="shared" si="19"/>
        <v>684.62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1404</v>
      </c>
      <c r="D33" s="2212" t="s">
        <v>3048</v>
      </c>
      <c r="E33" s="35">
        <f t="shared" si="7"/>
        <v>35.21</v>
      </c>
      <c r="F33" s="36"/>
      <c r="G33" s="37">
        <f t="shared" si="8"/>
        <v>337.12</v>
      </c>
      <c r="H33" s="38">
        <f t="shared" si="9"/>
        <v>337.12</v>
      </c>
      <c r="I33" s="39"/>
      <c r="J33" s="39"/>
      <c r="K33" s="39"/>
      <c r="L33" s="39"/>
      <c r="M33" s="39">
        <v>337.12</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1404</v>
      </c>
      <c r="AY33" s="42">
        <f t="shared" si="14"/>
        <v>35.21</v>
      </c>
      <c r="AZ33" s="35">
        <f t="shared" si="15"/>
        <v>337.12</v>
      </c>
      <c r="BA33" s="35">
        <f t="shared" si="16"/>
        <v>337.12</v>
      </c>
      <c r="BB33" s="35">
        <f t="shared" si="17"/>
        <v>0</v>
      </c>
      <c r="BC33" s="35">
        <f t="shared" si="18"/>
        <v>0</v>
      </c>
      <c r="BD33" s="35">
        <f t="shared" si="19"/>
        <v>337.12</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1501</v>
      </c>
      <c r="D34" s="2212" t="s">
        <v>3048</v>
      </c>
      <c r="E34" s="35">
        <f t="shared" si="7"/>
        <v>52.15</v>
      </c>
      <c r="F34" s="36"/>
      <c r="G34" s="37">
        <f t="shared" si="8"/>
        <v>499.28</v>
      </c>
      <c r="H34" s="38">
        <f t="shared" si="9"/>
        <v>499.28</v>
      </c>
      <c r="I34" s="39"/>
      <c r="J34" s="39"/>
      <c r="K34" s="39"/>
      <c r="L34" s="39"/>
      <c r="M34" s="39">
        <v>499.28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1501</v>
      </c>
      <c r="AY34" s="42">
        <f t="shared" si="14"/>
        <v>52.15</v>
      </c>
      <c r="AZ34" s="35">
        <f t="shared" si="15"/>
        <v>499.28</v>
      </c>
      <c r="BA34" s="35">
        <f t="shared" si="16"/>
        <v>499.28</v>
      </c>
      <c r="BB34" s="35">
        <f t="shared" si="17"/>
        <v>0</v>
      </c>
      <c r="BC34" s="35">
        <f t="shared" si="18"/>
        <v>0</v>
      </c>
      <c r="BD34" s="35">
        <f t="shared" si="19"/>
        <v>499.28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1502</v>
      </c>
      <c r="D35" s="2212" t="s">
        <v>3048</v>
      </c>
      <c r="E35" s="35">
        <f t="shared" si="7"/>
        <v>52.39</v>
      </c>
      <c r="F35" s="36"/>
      <c r="G35" s="37">
        <f t="shared" si="8"/>
        <v>501.58</v>
      </c>
      <c r="H35" s="38">
        <f t="shared" si="9"/>
        <v>501.58</v>
      </c>
      <c r="I35" s="39"/>
      <c r="J35" s="39"/>
      <c r="K35" s="39"/>
      <c r="L35" s="39"/>
      <c r="M35" s="39">
        <v>501.58</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1502</v>
      </c>
      <c r="AY35" s="42">
        <f t="shared" si="14"/>
        <v>52.39</v>
      </c>
      <c r="AZ35" s="35">
        <f t="shared" si="15"/>
        <v>501.58</v>
      </c>
      <c r="BA35" s="35">
        <f t="shared" si="16"/>
        <v>501.58</v>
      </c>
      <c r="BB35" s="35">
        <f t="shared" si="17"/>
        <v>0</v>
      </c>
      <c r="BC35" s="35">
        <f t="shared" si="18"/>
        <v>0</v>
      </c>
      <c r="BD35" s="35">
        <f t="shared" si="19"/>
        <v>501.58</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1503</v>
      </c>
      <c r="D36" s="2212" t="s">
        <v>3048</v>
      </c>
      <c r="E36" s="35">
        <f t="shared" si="7"/>
        <v>71.510000000000005</v>
      </c>
      <c r="F36" s="36"/>
      <c r="G36" s="37">
        <f t="shared" si="8"/>
        <v>684.62</v>
      </c>
      <c r="H36" s="38">
        <f t="shared" si="9"/>
        <v>684.62</v>
      </c>
      <c r="I36" s="39"/>
      <c r="J36" s="39"/>
      <c r="K36" s="39"/>
      <c r="L36" s="39"/>
      <c r="M36" s="39">
        <v>684.62</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1503</v>
      </c>
      <c r="AY36" s="42">
        <f t="shared" si="14"/>
        <v>71.510000000000005</v>
      </c>
      <c r="AZ36" s="35">
        <f t="shared" si="15"/>
        <v>684.62</v>
      </c>
      <c r="BA36" s="35">
        <f t="shared" si="16"/>
        <v>684.62</v>
      </c>
      <c r="BB36" s="35">
        <f t="shared" si="17"/>
        <v>0</v>
      </c>
      <c r="BC36" s="35">
        <f t="shared" si="18"/>
        <v>0</v>
      </c>
      <c r="BD36" s="35">
        <f t="shared" si="19"/>
        <v>684.62</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1504</v>
      </c>
      <c r="D37" s="2212" t="s">
        <v>3048</v>
      </c>
      <c r="E37" s="35">
        <f t="shared" si="7"/>
        <v>35.21</v>
      </c>
      <c r="F37" s="36"/>
      <c r="G37" s="37">
        <f t="shared" si="8"/>
        <v>337.12</v>
      </c>
      <c r="H37" s="38">
        <f t="shared" si="9"/>
        <v>337.12</v>
      </c>
      <c r="I37" s="39"/>
      <c r="J37" s="39"/>
      <c r="K37" s="39"/>
      <c r="L37" s="39"/>
      <c r="M37" s="39">
        <v>337.12</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1504</v>
      </c>
      <c r="AY37" s="42">
        <f t="shared" si="14"/>
        <v>35.21</v>
      </c>
      <c r="AZ37" s="35">
        <f t="shared" si="15"/>
        <v>337.12</v>
      </c>
      <c r="BA37" s="35">
        <f t="shared" si="16"/>
        <v>337.12</v>
      </c>
      <c r="BB37" s="35">
        <f t="shared" si="17"/>
        <v>0</v>
      </c>
      <c r="BC37" s="35">
        <f t="shared" si="18"/>
        <v>0</v>
      </c>
      <c r="BD37" s="35">
        <f t="shared" si="19"/>
        <v>337.12</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1601</v>
      </c>
      <c r="D38" s="2212" t="s">
        <v>3048</v>
      </c>
      <c r="E38" s="35">
        <f t="shared" si="7"/>
        <v>52.25</v>
      </c>
      <c r="F38" s="36"/>
      <c r="G38" s="37">
        <f t="shared" si="8"/>
        <v>500.2</v>
      </c>
      <c r="H38" s="38">
        <f t="shared" si="9"/>
        <v>500.2</v>
      </c>
      <c r="I38" s="39"/>
      <c r="J38" s="39"/>
      <c r="K38" s="39"/>
      <c r="L38" s="39"/>
      <c r="M38" s="39">
        <v>500.2</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1601</v>
      </c>
      <c r="AY38" s="42">
        <f t="shared" si="14"/>
        <v>52.25</v>
      </c>
      <c r="AZ38" s="35">
        <f t="shared" si="15"/>
        <v>500.2</v>
      </c>
      <c r="BA38" s="35">
        <f t="shared" si="16"/>
        <v>500.2</v>
      </c>
      <c r="BB38" s="35">
        <f t="shared" si="17"/>
        <v>0</v>
      </c>
      <c r="BC38" s="35">
        <f t="shared" si="18"/>
        <v>0</v>
      </c>
      <c r="BD38" s="35">
        <f t="shared" si="19"/>
        <v>500.2</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v>1602</v>
      </c>
      <c r="D39" s="2212" t="s">
        <v>3048</v>
      </c>
      <c r="E39" s="35">
        <f t="shared" si="7"/>
        <v>52.46</v>
      </c>
      <c r="F39" s="36"/>
      <c r="G39" s="37">
        <f t="shared" si="8"/>
        <v>502.28</v>
      </c>
      <c r="H39" s="38">
        <f t="shared" si="9"/>
        <v>502.28</v>
      </c>
      <c r="I39" s="39"/>
      <c r="J39" s="39"/>
      <c r="K39" s="39"/>
      <c r="L39" s="39"/>
      <c r="M39" s="39">
        <v>502.28</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1602</v>
      </c>
      <c r="AY39" s="42">
        <f t="shared" si="14"/>
        <v>52.46</v>
      </c>
      <c r="AZ39" s="35">
        <f t="shared" si="15"/>
        <v>502.28</v>
      </c>
      <c r="BA39" s="35">
        <f t="shared" si="16"/>
        <v>502.28</v>
      </c>
      <c r="BB39" s="35">
        <f t="shared" si="17"/>
        <v>0</v>
      </c>
      <c r="BC39" s="35">
        <f t="shared" si="18"/>
        <v>0</v>
      </c>
      <c r="BD39" s="35">
        <f t="shared" si="19"/>
        <v>502.28</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v>1603</v>
      </c>
      <c r="D40" s="2212" t="s">
        <v>3048</v>
      </c>
      <c r="E40" s="35">
        <f t="shared" si="7"/>
        <v>71.69</v>
      </c>
      <c r="F40" s="36"/>
      <c r="G40" s="37">
        <f t="shared" si="8"/>
        <v>686.35</v>
      </c>
      <c r="H40" s="38">
        <f t="shared" si="9"/>
        <v>686.35</v>
      </c>
      <c r="I40" s="39"/>
      <c r="J40" s="39"/>
      <c r="K40" s="39"/>
      <c r="L40" s="39"/>
      <c r="M40" s="39">
        <v>686.35</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1603</v>
      </c>
      <c r="AY40" s="42">
        <f t="shared" si="14"/>
        <v>71.69</v>
      </c>
      <c r="AZ40" s="35">
        <f t="shared" si="15"/>
        <v>686.35</v>
      </c>
      <c r="BA40" s="35">
        <f t="shared" si="16"/>
        <v>686.35</v>
      </c>
      <c r="BB40" s="35">
        <f t="shared" si="17"/>
        <v>0</v>
      </c>
      <c r="BC40" s="35">
        <f t="shared" si="18"/>
        <v>0</v>
      </c>
      <c r="BD40" s="35">
        <f t="shared" si="19"/>
        <v>686.35</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v>1604</v>
      </c>
      <c r="D41" s="2212" t="s">
        <v>3048</v>
      </c>
      <c r="E41" s="35">
        <f t="shared" si="7"/>
        <v>35.24</v>
      </c>
      <c r="F41" s="36"/>
      <c r="G41" s="37">
        <f t="shared" si="8"/>
        <v>337.41</v>
      </c>
      <c r="H41" s="38">
        <f t="shared" si="9"/>
        <v>337.41</v>
      </c>
      <c r="I41" s="39"/>
      <c r="J41" s="39"/>
      <c r="K41" s="39"/>
      <c r="L41" s="39"/>
      <c r="M41" s="39">
        <v>337.41</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1604</v>
      </c>
      <c r="AY41" s="42">
        <f t="shared" si="14"/>
        <v>35.24</v>
      </c>
      <c r="AZ41" s="35">
        <f t="shared" si="15"/>
        <v>337.41</v>
      </c>
      <c r="BA41" s="35">
        <f t="shared" si="16"/>
        <v>337.41</v>
      </c>
      <c r="BB41" s="35">
        <f t="shared" si="17"/>
        <v>0</v>
      </c>
      <c r="BC41" s="35">
        <f t="shared" si="18"/>
        <v>0</v>
      </c>
      <c r="BD41" s="35">
        <f t="shared" si="19"/>
        <v>337.41</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v>1701</v>
      </c>
      <c r="D42" s="2212" t="s">
        <v>3048</v>
      </c>
      <c r="E42" s="35">
        <f t="shared" si="7"/>
        <v>52.25</v>
      </c>
      <c r="F42" s="36"/>
      <c r="G42" s="37">
        <f t="shared" si="8"/>
        <v>500.2</v>
      </c>
      <c r="H42" s="38">
        <f t="shared" si="9"/>
        <v>500.2</v>
      </c>
      <c r="I42" s="39"/>
      <c r="J42" s="39"/>
      <c r="K42" s="39"/>
      <c r="L42" s="39"/>
      <c r="M42" s="39">
        <v>500.2</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1701</v>
      </c>
      <c r="AY42" s="42">
        <f t="shared" si="14"/>
        <v>52.25</v>
      </c>
      <c r="AZ42" s="35">
        <f t="shared" si="15"/>
        <v>500.2</v>
      </c>
      <c r="BA42" s="35">
        <f t="shared" si="16"/>
        <v>500.2</v>
      </c>
      <c r="BB42" s="35">
        <f t="shared" si="17"/>
        <v>0</v>
      </c>
      <c r="BC42" s="35">
        <f t="shared" si="18"/>
        <v>0</v>
      </c>
      <c r="BD42" s="35">
        <f t="shared" si="19"/>
        <v>500.2</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v>1702</v>
      </c>
      <c r="D43" s="2212" t="s">
        <v>3048</v>
      </c>
      <c r="E43" s="35">
        <f t="shared" si="7"/>
        <v>52.46</v>
      </c>
      <c r="F43" s="36"/>
      <c r="G43" s="37">
        <f t="shared" si="8"/>
        <v>502.28</v>
      </c>
      <c r="H43" s="38">
        <f t="shared" si="9"/>
        <v>502.28</v>
      </c>
      <c r="I43" s="39"/>
      <c r="J43" s="39"/>
      <c r="K43" s="39"/>
      <c r="L43" s="39"/>
      <c r="M43" s="39">
        <v>502.28</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1702</v>
      </c>
      <c r="AY43" s="42">
        <f t="shared" si="14"/>
        <v>52.46</v>
      </c>
      <c r="AZ43" s="35">
        <f t="shared" si="15"/>
        <v>502.28</v>
      </c>
      <c r="BA43" s="35">
        <f t="shared" si="16"/>
        <v>502.28</v>
      </c>
      <c r="BB43" s="35">
        <f t="shared" si="17"/>
        <v>0</v>
      </c>
      <c r="BC43" s="35">
        <f t="shared" si="18"/>
        <v>0</v>
      </c>
      <c r="BD43" s="35">
        <f t="shared" si="19"/>
        <v>502.28</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v>1703</v>
      </c>
      <c r="D44" s="2212" t="s">
        <v>3048</v>
      </c>
      <c r="E44" s="35">
        <f t="shared" si="7"/>
        <v>71.69</v>
      </c>
      <c r="F44" s="36"/>
      <c r="G44" s="37">
        <f t="shared" si="8"/>
        <v>686.35</v>
      </c>
      <c r="H44" s="38">
        <f t="shared" si="9"/>
        <v>686.35</v>
      </c>
      <c r="I44" s="39"/>
      <c r="J44" s="39"/>
      <c r="K44" s="39"/>
      <c r="L44" s="39"/>
      <c r="M44" s="39">
        <v>686.35</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1703</v>
      </c>
      <c r="AY44" s="42">
        <f t="shared" si="14"/>
        <v>71.69</v>
      </c>
      <c r="AZ44" s="35">
        <f t="shared" si="15"/>
        <v>686.35</v>
      </c>
      <c r="BA44" s="35">
        <f t="shared" si="16"/>
        <v>686.35</v>
      </c>
      <c r="BB44" s="35">
        <f t="shared" si="17"/>
        <v>0</v>
      </c>
      <c r="BC44" s="35">
        <f t="shared" si="18"/>
        <v>0</v>
      </c>
      <c r="BD44" s="35">
        <f t="shared" si="19"/>
        <v>686.35</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v>1704</v>
      </c>
      <c r="D45" s="2212" t="s">
        <v>3048</v>
      </c>
      <c r="E45" s="35">
        <f t="shared" si="7"/>
        <v>35.24</v>
      </c>
      <c r="F45" s="36"/>
      <c r="G45" s="37">
        <f t="shared" si="8"/>
        <v>337.41</v>
      </c>
      <c r="H45" s="38">
        <f t="shared" si="9"/>
        <v>337.41</v>
      </c>
      <c r="I45" s="39"/>
      <c r="J45" s="39"/>
      <c r="K45" s="39"/>
      <c r="L45" s="39"/>
      <c r="M45" s="39">
        <v>337.41</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1704</v>
      </c>
      <c r="AY45" s="42">
        <f t="shared" si="14"/>
        <v>35.24</v>
      </c>
      <c r="AZ45" s="35">
        <f t="shared" si="15"/>
        <v>337.41</v>
      </c>
      <c r="BA45" s="35">
        <f t="shared" si="16"/>
        <v>337.41</v>
      </c>
      <c r="BB45" s="35">
        <f t="shared" si="17"/>
        <v>0</v>
      </c>
      <c r="BC45" s="35">
        <f t="shared" si="18"/>
        <v>0</v>
      </c>
      <c r="BD45" s="35">
        <f t="shared" si="19"/>
        <v>337.41</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v>1801</v>
      </c>
      <c r="D46" s="2212" t="s">
        <v>3048</v>
      </c>
      <c r="E46" s="35">
        <f t="shared" si="7"/>
        <v>52.25</v>
      </c>
      <c r="F46" s="36"/>
      <c r="G46" s="37">
        <f t="shared" si="8"/>
        <v>500.2</v>
      </c>
      <c r="H46" s="38">
        <f t="shared" si="9"/>
        <v>500.2</v>
      </c>
      <c r="I46" s="39"/>
      <c r="J46" s="39"/>
      <c r="K46" s="39"/>
      <c r="L46" s="39"/>
      <c r="M46" s="39">
        <v>500.2</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1801</v>
      </c>
      <c r="AY46" s="42">
        <f t="shared" si="14"/>
        <v>52.25</v>
      </c>
      <c r="AZ46" s="35">
        <f t="shared" si="15"/>
        <v>500.2</v>
      </c>
      <c r="BA46" s="35">
        <f t="shared" si="16"/>
        <v>500.2</v>
      </c>
      <c r="BB46" s="35">
        <f t="shared" si="17"/>
        <v>0</v>
      </c>
      <c r="BC46" s="35">
        <f t="shared" si="18"/>
        <v>0</v>
      </c>
      <c r="BD46" s="35">
        <f t="shared" si="19"/>
        <v>500.2</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v>1802</v>
      </c>
      <c r="D47" s="2212" t="s">
        <v>3048</v>
      </c>
      <c r="E47" s="35">
        <f t="shared" si="7"/>
        <v>52.46</v>
      </c>
      <c r="F47" s="36"/>
      <c r="G47" s="37">
        <f t="shared" si="8"/>
        <v>502.28</v>
      </c>
      <c r="H47" s="38">
        <f t="shared" si="9"/>
        <v>502.28</v>
      </c>
      <c r="I47" s="39"/>
      <c r="J47" s="39"/>
      <c r="K47" s="39"/>
      <c r="L47" s="39"/>
      <c r="M47" s="39">
        <v>502.28</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1802</v>
      </c>
      <c r="AY47" s="42">
        <f t="shared" si="14"/>
        <v>52.46</v>
      </c>
      <c r="AZ47" s="35">
        <f t="shared" si="15"/>
        <v>502.28</v>
      </c>
      <c r="BA47" s="35">
        <f t="shared" si="16"/>
        <v>502.28</v>
      </c>
      <c r="BB47" s="35">
        <f t="shared" si="17"/>
        <v>0</v>
      </c>
      <c r="BC47" s="35">
        <f t="shared" si="18"/>
        <v>0</v>
      </c>
      <c r="BD47" s="35">
        <f t="shared" si="19"/>
        <v>502.28</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v>1803</v>
      </c>
      <c r="D48" s="2212" t="s">
        <v>3048</v>
      </c>
      <c r="E48" s="35">
        <f t="shared" si="7"/>
        <v>71.69</v>
      </c>
      <c r="F48" s="36"/>
      <c r="G48" s="37">
        <f t="shared" si="8"/>
        <v>686.35</v>
      </c>
      <c r="H48" s="38">
        <f t="shared" si="9"/>
        <v>686.35</v>
      </c>
      <c r="I48" s="39"/>
      <c r="J48" s="39"/>
      <c r="K48" s="39"/>
      <c r="L48" s="39"/>
      <c r="M48" s="39">
        <v>686.35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1803</v>
      </c>
      <c r="AY48" s="42">
        <f t="shared" si="14"/>
        <v>71.69</v>
      </c>
      <c r="AZ48" s="35">
        <f t="shared" si="15"/>
        <v>686.35</v>
      </c>
      <c r="BA48" s="35">
        <f t="shared" si="16"/>
        <v>686.35</v>
      </c>
      <c r="BB48" s="35">
        <f t="shared" si="17"/>
        <v>0</v>
      </c>
      <c r="BC48" s="35">
        <f t="shared" si="18"/>
        <v>0</v>
      </c>
      <c r="BD48" s="35">
        <f t="shared" si="19"/>
        <v>686.35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v>1804</v>
      </c>
      <c r="D49" s="2212" t="s">
        <v>3048</v>
      </c>
      <c r="E49" s="35">
        <f t="shared" si="7"/>
        <v>35.24</v>
      </c>
      <c r="F49" s="36"/>
      <c r="G49" s="37">
        <f t="shared" si="8"/>
        <v>337.41</v>
      </c>
      <c r="H49" s="38">
        <f t="shared" si="9"/>
        <v>337.41</v>
      </c>
      <c r="I49" s="39"/>
      <c r="J49" s="39"/>
      <c r="K49" s="39"/>
      <c r="L49" s="39"/>
      <c r="M49" s="39">
        <v>337.41</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1804</v>
      </c>
      <c r="AY49" s="42">
        <f t="shared" si="14"/>
        <v>35.24</v>
      </c>
      <c r="AZ49" s="35">
        <f t="shared" si="15"/>
        <v>337.41</v>
      </c>
      <c r="BA49" s="35">
        <f t="shared" si="16"/>
        <v>337.41</v>
      </c>
      <c r="BB49" s="35">
        <f t="shared" si="17"/>
        <v>0</v>
      </c>
      <c r="BC49" s="35">
        <f t="shared" si="18"/>
        <v>0</v>
      </c>
      <c r="BD49" s="35">
        <f t="shared" si="19"/>
        <v>337.41</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v>1901</v>
      </c>
      <c r="D50" s="2212" t="s">
        <v>3048</v>
      </c>
      <c r="E50" s="35">
        <f t="shared" si="7"/>
        <v>52.25</v>
      </c>
      <c r="F50" s="36"/>
      <c r="G50" s="37">
        <f t="shared" si="8"/>
        <v>500.2</v>
      </c>
      <c r="H50" s="38">
        <f t="shared" si="9"/>
        <v>500.2</v>
      </c>
      <c r="I50" s="39"/>
      <c r="J50" s="39"/>
      <c r="K50" s="39"/>
      <c r="L50" s="39"/>
      <c r="M50" s="39">
        <v>500.2</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1901</v>
      </c>
      <c r="AY50" s="42">
        <f t="shared" si="14"/>
        <v>52.25</v>
      </c>
      <c r="AZ50" s="35">
        <f t="shared" si="15"/>
        <v>500.2</v>
      </c>
      <c r="BA50" s="35">
        <f t="shared" si="16"/>
        <v>500.2</v>
      </c>
      <c r="BB50" s="35">
        <f t="shared" si="17"/>
        <v>0</v>
      </c>
      <c r="BC50" s="35">
        <f t="shared" si="18"/>
        <v>0</v>
      </c>
      <c r="BD50" s="35">
        <f t="shared" si="19"/>
        <v>500.2</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v>1902</v>
      </c>
      <c r="D51" s="2212" t="s">
        <v>3048</v>
      </c>
      <c r="E51" s="35">
        <f t="shared" si="7"/>
        <v>52.46</v>
      </c>
      <c r="F51" s="36"/>
      <c r="G51" s="37">
        <f t="shared" si="8"/>
        <v>502.28</v>
      </c>
      <c r="H51" s="38">
        <f t="shared" si="9"/>
        <v>502.28</v>
      </c>
      <c r="I51" s="39"/>
      <c r="J51" s="39"/>
      <c r="K51" s="39"/>
      <c r="L51" s="39"/>
      <c r="M51" s="39">
        <v>502.28</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1902</v>
      </c>
      <c r="AY51" s="42">
        <f t="shared" si="14"/>
        <v>52.46</v>
      </c>
      <c r="AZ51" s="35">
        <f t="shared" si="15"/>
        <v>502.28</v>
      </c>
      <c r="BA51" s="35">
        <f t="shared" si="16"/>
        <v>502.28</v>
      </c>
      <c r="BB51" s="35">
        <f t="shared" si="17"/>
        <v>0</v>
      </c>
      <c r="BC51" s="35">
        <f t="shared" si="18"/>
        <v>0</v>
      </c>
      <c r="BD51" s="35">
        <f t="shared" si="19"/>
        <v>502.28</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v>1903</v>
      </c>
      <c r="D52" s="2212" t="s">
        <v>3048</v>
      </c>
      <c r="E52" s="35">
        <f t="shared" si="7"/>
        <v>71.69</v>
      </c>
      <c r="F52" s="36"/>
      <c r="G52" s="37">
        <f t="shared" si="8"/>
        <v>686.35</v>
      </c>
      <c r="H52" s="38">
        <f t="shared" si="9"/>
        <v>686.35</v>
      </c>
      <c r="I52" s="39"/>
      <c r="J52" s="39"/>
      <c r="K52" s="39"/>
      <c r="L52" s="39"/>
      <c r="M52" s="39">
        <v>686.35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1903</v>
      </c>
      <c r="AY52" s="42">
        <f t="shared" si="14"/>
        <v>71.69</v>
      </c>
      <c r="AZ52" s="35">
        <f t="shared" si="15"/>
        <v>686.35</v>
      </c>
      <c r="BA52" s="35">
        <f t="shared" si="16"/>
        <v>686.35</v>
      </c>
      <c r="BB52" s="35">
        <f t="shared" si="17"/>
        <v>0</v>
      </c>
      <c r="BC52" s="35">
        <f t="shared" si="18"/>
        <v>0</v>
      </c>
      <c r="BD52" s="35">
        <f t="shared" si="19"/>
        <v>686.35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v>1904</v>
      </c>
      <c r="D53" s="2212" t="s">
        <v>3048</v>
      </c>
      <c r="E53" s="35">
        <f t="shared" si="7"/>
        <v>35.24</v>
      </c>
      <c r="F53" s="36"/>
      <c r="G53" s="37">
        <f t="shared" si="8"/>
        <v>337.41</v>
      </c>
      <c r="H53" s="38">
        <f t="shared" si="9"/>
        <v>337.41</v>
      </c>
      <c r="I53" s="39"/>
      <c r="J53" s="39"/>
      <c r="K53" s="39"/>
      <c r="L53" s="39"/>
      <c r="M53" s="39">
        <v>337.41</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1904</v>
      </c>
      <c r="AY53" s="42">
        <f t="shared" si="14"/>
        <v>35.24</v>
      </c>
      <c r="AZ53" s="35">
        <f t="shared" si="15"/>
        <v>337.41</v>
      </c>
      <c r="BA53" s="35">
        <f t="shared" si="16"/>
        <v>337.41</v>
      </c>
      <c r="BB53" s="35">
        <f t="shared" si="17"/>
        <v>0</v>
      </c>
      <c r="BC53" s="35">
        <f t="shared" si="18"/>
        <v>0</v>
      </c>
      <c r="BD53" s="35">
        <f t="shared" si="19"/>
        <v>337.41</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v>2001</v>
      </c>
      <c r="D54" s="2212" t="s">
        <v>3048</v>
      </c>
      <c r="E54" s="35">
        <f t="shared" si="7"/>
        <v>52.25</v>
      </c>
      <c r="F54" s="36"/>
      <c r="G54" s="37">
        <f t="shared" si="8"/>
        <v>500.2</v>
      </c>
      <c r="H54" s="38">
        <f t="shared" si="9"/>
        <v>500.2</v>
      </c>
      <c r="I54" s="39"/>
      <c r="J54" s="39"/>
      <c r="K54" s="39"/>
      <c r="L54" s="39"/>
      <c r="M54" s="39">
        <v>500.2</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2001</v>
      </c>
      <c r="AY54" s="42">
        <f t="shared" si="14"/>
        <v>52.25</v>
      </c>
      <c r="AZ54" s="35">
        <f t="shared" si="15"/>
        <v>500.2</v>
      </c>
      <c r="BA54" s="35">
        <f t="shared" si="16"/>
        <v>500.2</v>
      </c>
      <c r="BB54" s="35">
        <f t="shared" si="17"/>
        <v>0</v>
      </c>
      <c r="BC54" s="35">
        <f t="shared" si="18"/>
        <v>0</v>
      </c>
      <c r="BD54" s="35">
        <f t="shared" si="19"/>
        <v>500.2</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v>2002</v>
      </c>
      <c r="D55" s="2212" t="s">
        <v>3048</v>
      </c>
      <c r="E55" s="35">
        <f t="shared" si="7"/>
        <v>52.46</v>
      </c>
      <c r="F55" s="36"/>
      <c r="G55" s="37">
        <f t="shared" si="8"/>
        <v>502.28</v>
      </c>
      <c r="H55" s="38">
        <f t="shared" si="9"/>
        <v>502.28</v>
      </c>
      <c r="I55" s="39"/>
      <c r="J55" s="39"/>
      <c r="K55" s="39"/>
      <c r="L55" s="39"/>
      <c r="M55" s="39">
        <v>502.28</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2002</v>
      </c>
      <c r="AY55" s="42">
        <f t="shared" si="14"/>
        <v>52.46</v>
      </c>
      <c r="AZ55" s="35">
        <f t="shared" si="15"/>
        <v>502.28</v>
      </c>
      <c r="BA55" s="35">
        <f t="shared" si="16"/>
        <v>502.28</v>
      </c>
      <c r="BB55" s="35">
        <f t="shared" si="17"/>
        <v>0</v>
      </c>
      <c r="BC55" s="35">
        <f t="shared" si="18"/>
        <v>0</v>
      </c>
      <c r="BD55" s="35">
        <f t="shared" si="19"/>
        <v>502.28</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v>2003</v>
      </c>
      <c r="D56" s="2212" t="s">
        <v>3048</v>
      </c>
      <c r="E56" s="35">
        <f t="shared" si="7"/>
        <v>71.69</v>
      </c>
      <c r="F56" s="36"/>
      <c r="G56" s="37">
        <f t="shared" si="8"/>
        <v>686.35</v>
      </c>
      <c r="H56" s="38">
        <f t="shared" si="9"/>
        <v>686.35</v>
      </c>
      <c r="I56" s="39"/>
      <c r="J56" s="39"/>
      <c r="K56" s="39"/>
      <c r="L56" s="39"/>
      <c r="M56" s="39">
        <v>686.35</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2003</v>
      </c>
      <c r="AY56" s="42">
        <f t="shared" si="14"/>
        <v>71.69</v>
      </c>
      <c r="AZ56" s="35">
        <f t="shared" si="15"/>
        <v>686.35</v>
      </c>
      <c r="BA56" s="35">
        <f t="shared" si="16"/>
        <v>686.35</v>
      </c>
      <c r="BB56" s="35">
        <f t="shared" si="17"/>
        <v>0</v>
      </c>
      <c r="BC56" s="35">
        <f t="shared" si="18"/>
        <v>0</v>
      </c>
      <c r="BD56" s="35">
        <f t="shared" si="19"/>
        <v>686.35</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v>2004</v>
      </c>
      <c r="D57" s="2212" t="s">
        <v>3048</v>
      </c>
      <c r="E57" s="35">
        <f t="shared" si="7"/>
        <v>35.24</v>
      </c>
      <c r="F57" s="36"/>
      <c r="G57" s="37">
        <f t="shared" si="8"/>
        <v>337.41</v>
      </c>
      <c r="H57" s="38">
        <f t="shared" si="9"/>
        <v>337.41</v>
      </c>
      <c r="I57" s="39"/>
      <c r="J57" s="39"/>
      <c r="K57" s="39"/>
      <c r="L57" s="39"/>
      <c r="M57" s="39">
        <v>337.41</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2004</v>
      </c>
      <c r="AY57" s="42">
        <f t="shared" si="14"/>
        <v>35.24</v>
      </c>
      <c r="AZ57" s="35">
        <f t="shared" si="15"/>
        <v>337.41</v>
      </c>
      <c r="BA57" s="35">
        <f t="shared" si="16"/>
        <v>337.41</v>
      </c>
      <c r="BB57" s="35">
        <f t="shared" si="17"/>
        <v>0</v>
      </c>
      <c r="BC57" s="35">
        <f t="shared" si="18"/>
        <v>0</v>
      </c>
      <c r="BD57" s="35">
        <f t="shared" si="19"/>
        <v>337.41</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v>2101</v>
      </c>
      <c r="D58" s="2212" t="s">
        <v>3048</v>
      </c>
      <c r="E58" s="35">
        <f t="shared" si="7"/>
        <v>52.25</v>
      </c>
      <c r="F58" s="36"/>
      <c r="G58" s="37">
        <f t="shared" si="8"/>
        <v>500.2</v>
      </c>
      <c r="H58" s="38">
        <f t="shared" si="9"/>
        <v>500.2</v>
      </c>
      <c r="I58" s="39"/>
      <c r="J58" s="39"/>
      <c r="K58" s="39"/>
      <c r="L58" s="39"/>
      <c r="M58" s="39">
        <v>500.2</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2101</v>
      </c>
      <c r="AY58" s="42">
        <f t="shared" si="14"/>
        <v>52.25</v>
      </c>
      <c r="AZ58" s="35">
        <f t="shared" si="15"/>
        <v>500.2</v>
      </c>
      <c r="BA58" s="35">
        <f t="shared" si="16"/>
        <v>500.2</v>
      </c>
      <c r="BB58" s="35">
        <f t="shared" si="17"/>
        <v>0</v>
      </c>
      <c r="BC58" s="35">
        <f t="shared" si="18"/>
        <v>0</v>
      </c>
      <c r="BD58" s="35">
        <f t="shared" si="19"/>
        <v>500.2</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v>2102</v>
      </c>
      <c r="D59" s="2212" t="s">
        <v>3048</v>
      </c>
      <c r="E59" s="35">
        <f t="shared" si="7"/>
        <v>52.46</v>
      </c>
      <c r="F59" s="36"/>
      <c r="G59" s="37">
        <f t="shared" si="8"/>
        <v>502.28</v>
      </c>
      <c r="H59" s="38">
        <f t="shared" si="9"/>
        <v>502.28</v>
      </c>
      <c r="I59" s="39"/>
      <c r="J59" s="39"/>
      <c r="K59" s="39"/>
      <c r="L59" s="39"/>
      <c r="M59" s="39">
        <v>502.28</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2102</v>
      </c>
      <c r="AY59" s="42">
        <f t="shared" si="14"/>
        <v>52.46</v>
      </c>
      <c r="AZ59" s="35">
        <f t="shared" si="15"/>
        <v>502.28</v>
      </c>
      <c r="BA59" s="35">
        <f t="shared" si="16"/>
        <v>502.28</v>
      </c>
      <c r="BB59" s="35">
        <f t="shared" si="17"/>
        <v>0</v>
      </c>
      <c r="BC59" s="35">
        <f t="shared" si="18"/>
        <v>0</v>
      </c>
      <c r="BD59" s="35">
        <f t="shared" si="19"/>
        <v>502.28</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v>2103</v>
      </c>
      <c r="D60" s="2212" t="s">
        <v>3048</v>
      </c>
      <c r="E60" s="35">
        <f t="shared" si="7"/>
        <v>71.69</v>
      </c>
      <c r="F60" s="36"/>
      <c r="G60" s="37">
        <f t="shared" si="8"/>
        <v>686.35</v>
      </c>
      <c r="H60" s="38">
        <f t="shared" si="9"/>
        <v>686.35</v>
      </c>
      <c r="I60" s="39"/>
      <c r="J60" s="39"/>
      <c r="K60" s="39"/>
      <c r="L60" s="39"/>
      <c r="M60" s="39">
        <v>686.35</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2103</v>
      </c>
      <c r="AY60" s="42">
        <f t="shared" si="14"/>
        <v>71.69</v>
      </c>
      <c r="AZ60" s="35">
        <f t="shared" si="15"/>
        <v>686.35</v>
      </c>
      <c r="BA60" s="35">
        <f t="shared" si="16"/>
        <v>686.35</v>
      </c>
      <c r="BB60" s="35">
        <f t="shared" si="17"/>
        <v>0</v>
      </c>
      <c r="BC60" s="35">
        <f t="shared" si="18"/>
        <v>0</v>
      </c>
      <c r="BD60" s="35">
        <f t="shared" si="19"/>
        <v>686.35</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v>2104</v>
      </c>
      <c r="D61" s="2212" t="s">
        <v>3048</v>
      </c>
      <c r="E61" s="35">
        <f t="shared" si="7"/>
        <v>35.24</v>
      </c>
      <c r="F61" s="36"/>
      <c r="G61" s="37">
        <f t="shared" si="8"/>
        <v>337.41</v>
      </c>
      <c r="H61" s="38">
        <f t="shared" si="9"/>
        <v>337.41</v>
      </c>
      <c r="I61" s="39"/>
      <c r="J61" s="39"/>
      <c r="K61" s="39"/>
      <c r="L61" s="39"/>
      <c r="M61" s="39">
        <v>337.41</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2104</v>
      </c>
      <c r="AY61" s="42">
        <f t="shared" si="14"/>
        <v>35.24</v>
      </c>
      <c r="AZ61" s="35">
        <f t="shared" si="15"/>
        <v>337.41</v>
      </c>
      <c r="BA61" s="35">
        <f t="shared" si="16"/>
        <v>337.41</v>
      </c>
      <c r="BB61" s="35">
        <f t="shared" si="17"/>
        <v>0</v>
      </c>
      <c r="BC61" s="35">
        <f t="shared" si="18"/>
        <v>0</v>
      </c>
      <c r="BD61" s="35">
        <f t="shared" si="19"/>
        <v>337.41</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33" sqref="M3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047" t="s">
        <v>1936</v>
      </c>
      <c r="B2" s="3047"/>
      <c r="C2" s="3047"/>
      <c r="D2" s="968" t="s">
        <v>1912</v>
      </c>
      <c r="E2" s="2226" t="s">
        <v>1913</v>
      </c>
      <c r="F2" s="1393"/>
      <c r="G2" s="2227"/>
      <c r="H2" s="2228"/>
      <c r="I2" s="2229" t="s">
        <v>1937</v>
      </c>
      <c r="J2" s="1393"/>
      <c r="K2" s="1393"/>
      <c r="L2" s="1393"/>
      <c r="M2" s="1393"/>
      <c r="N2" s="1428"/>
      <c r="O2" s="1393"/>
      <c r="P2" s="1393"/>
    </row>
    <row r="3" spans="1:16" ht="15.75" thickBot="1">
      <c r="A3" s="3048" t="s">
        <v>1910</v>
      </c>
      <c r="B3" s="3048"/>
      <c r="C3" s="3048"/>
      <c r="D3" s="46">
        <f>'数据-基础表'!AY6</f>
        <v>5235.2</v>
      </c>
      <c r="E3" s="46">
        <f>'数据-基础表'!AZ5</f>
        <v>50120.32</v>
      </c>
      <c r="F3" s="1393"/>
      <c r="G3" s="1400"/>
      <c r="H3" s="1248" t="s">
        <v>1911</v>
      </c>
      <c r="I3" s="55">
        <f>ROUND('数据-基础表'!B3/'数据-基础表'!A3,2)</f>
        <v>9.57</v>
      </c>
      <c r="J3" s="1393"/>
      <c r="K3" s="1393"/>
      <c r="L3" s="1393"/>
      <c r="M3" s="1393"/>
      <c r="N3" s="1428"/>
      <c r="O3" s="1393"/>
      <c r="P3" s="1393"/>
    </row>
    <row r="4" spans="1:16" ht="15">
      <c r="A4" s="3049"/>
      <c r="B4" s="3050"/>
      <c r="C4" s="3051"/>
      <c r="D4" s="2230" t="s">
        <v>1912</v>
      </c>
      <c r="E4" s="2231" t="s">
        <v>1913</v>
      </c>
      <c r="F4" s="1393"/>
      <c r="G4" s="2232" t="s">
        <v>1938</v>
      </c>
      <c r="H4" s="1248" t="s">
        <v>1918</v>
      </c>
      <c r="I4" s="55">
        <f>ROUND(SUMIF('数据-基础表'!I9:AS9,"地上",'数据-基础表'!I5:AS5)/'数据-基础表'!A3,2)</f>
        <v>7.5</v>
      </c>
      <c r="J4" s="1393"/>
      <c r="K4" s="1393"/>
      <c r="L4" s="1393"/>
      <c r="M4" s="1393"/>
      <c r="N4" s="1428"/>
      <c r="O4" s="1393"/>
      <c r="P4" s="1393"/>
    </row>
    <row r="5" spans="1:16">
      <c r="A5" s="47" t="s">
        <v>1914</v>
      </c>
      <c r="B5" s="3052" t="s">
        <v>1915</v>
      </c>
      <c r="C5" s="3052"/>
      <c r="D5" s="48">
        <f>ROUND($D$3*E5/$E$3,2)</f>
        <v>0</v>
      </c>
      <c r="E5" s="49">
        <f>SUMIF('数据-基础表'!$11:$11,"住宅",'数据-基础表'!$5:$5)</f>
        <v>0</v>
      </c>
      <c r="F5" s="1393"/>
      <c r="G5" s="1400"/>
      <c r="H5" s="1248" t="s">
        <v>1911</v>
      </c>
      <c r="I5" s="55">
        <f>ROUND(E31/D31,2)</f>
        <v>9.57</v>
      </c>
      <c r="J5" s="1393"/>
      <c r="K5" s="1393"/>
      <c r="L5" s="1393"/>
      <c r="M5" s="1393"/>
      <c r="N5" s="1393"/>
      <c r="O5" s="1393"/>
      <c r="P5" s="1393"/>
    </row>
    <row r="6" spans="1:16" ht="15" thickBot="1">
      <c r="A6" s="2233"/>
      <c r="B6" s="3052" t="s">
        <v>1916</v>
      </c>
      <c r="C6" s="3052"/>
      <c r="D6" s="48">
        <f>ROUND($D$3*E6/$E$3,2)</f>
        <v>5235.2</v>
      </c>
      <c r="E6" s="49">
        <f>E3-E5</f>
        <v>50120.32</v>
      </c>
      <c r="F6" s="1393"/>
      <c r="G6" s="2234" t="s">
        <v>1917</v>
      </c>
      <c r="H6" s="1400" t="s">
        <v>1918</v>
      </c>
      <c r="I6" s="940">
        <f>ROUND(F31/D31,2)</f>
        <v>7.5</v>
      </c>
      <c r="J6" s="1393"/>
      <c r="K6" s="1393"/>
      <c r="L6" s="1393"/>
      <c r="M6" s="1393"/>
      <c r="N6" s="1393"/>
      <c r="O6" s="1393"/>
      <c r="P6" s="1393"/>
    </row>
    <row r="7" spans="1:16" ht="15">
      <c r="A7" s="3044"/>
      <c r="B7" s="3045"/>
      <c r="C7" s="3046"/>
      <c r="D7" s="2230" t="s">
        <v>1912</v>
      </c>
      <c r="E7" s="2235" t="s">
        <v>1919</v>
      </c>
      <c r="F7" s="1393"/>
      <c r="G7" s="2227" t="s">
        <v>1920</v>
      </c>
      <c r="H7" s="64"/>
      <c r="I7" s="420"/>
      <c r="J7" s="1393"/>
      <c r="K7" s="1393"/>
      <c r="L7" s="1393"/>
      <c r="M7" s="1393"/>
      <c r="N7" s="1393"/>
      <c r="O7" s="1393"/>
      <c r="P7" s="1393"/>
    </row>
    <row r="8" spans="1:16">
      <c r="A8" s="47" t="s">
        <v>1921</v>
      </c>
      <c r="B8" s="50" t="s">
        <v>1922</v>
      </c>
      <c r="C8" s="48" t="s">
        <v>1923</v>
      </c>
      <c r="D8" s="48">
        <f t="shared" ref="D8:D15" si="0">ROUND($D$3*E8/$E$3,2)</f>
        <v>4100.62</v>
      </c>
      <c r="E8" s="51">
        <f>SUMIF('数据-基础表'!BB10:BK10,"地上",'数据-基础表'!BB5:BK5)</f>
        <v>39258.17</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429.8</v>
      </c>
      <c r="E10" s="51">
        <f>SUMPRODUCT(('数据-基础表'!BB10:BK10="地下")*('数据-基础表'!BB11:BK11="商业")*('数据-基础表'!BB5:BK5))</f>
        <v>4114.75</v>
      </c>
      <c r="F10" s="1393"/>
      <c r="G10" s="2236"/>
      <c r="H10" s="2236"/>
      <c r="I10" s="1393"/>
      <c r="J10" s="1393"/>
      <c r="K10" s="1393"/>
      <c r="L10" s="1393"/>
      <c r="M10" s="1393"/>
      <c r="N10" s="1393"/>
      <c r="O10" s="1393"/>
      <c r="P10" s="1393"/>
    </row>
    <row r="11" spans="1:16">
      <c r="A11" s="2237"/>
      <c r="B11" s="2238"/>
      <c r="C11" s="48" t="s">
        <v>1925</v>
      </c>
      <c r="D11" s="48">
        <f t="shared" si="0"/>
        <v>70.260000000000005</v>
      </c>
      <c r="E11" s="51">
        <f>SUMPRODUCT(('数据-基础表'!BB10:BK10="地下")*('数据-基础表'!BB11:BK11="办公")*('数据-基础表'!BB5:BK5))+'数据-基础表'!BP5</f>
        <v>672.66000000000008</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634.52</v>
      </c>
      <c r="E13" s="51">
        <f>SUMPRODUCT(('数据-基础表'!BB10:BK10="地下")*('数据-基础表'!BB11:BK11="车库")*('数据-基础表'!BB5:BK5))</f>
        <v>6074.74</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5235.2000000000007</v>
      </c>
      <c r="E16" s="53">
        <f>SUM(E8:E15)</f>
        <v>50120.32</v>
      </c>
      <c r="F16" s="1393"/>
      <c r="G16" s="2236"/>
      <c r="H16" s="2239" t="s">
        <v>1940</v>
      </c>
      <c r="I16" s="2240"/>
      <c r="J16" s="1393"/>
      <c r="K16" s="3041" t="s">
        <v>1940</v>
      </c>
      <c r="L16" s="3042"/>
      <c r="M16" s="3042"/>
      <c r="N16" s="3042"/>
      <c r="O16" s="3042"/>
      <c r="P16" s="3043"/>
    </row>
    <row r="17" spans="1:19" ht="15">
      <c r="A17" s="2241" t="s">
        <v>1941</v>
      </c>
      <c r="B17" s="2242" t="s">
        <v>1942</v>
      </c>
      <c r="C17" s="2243" t="s">
        <v>1943</v>
      </c>
      <c r="D17" s="2244" t="s">
        <v>1931</v>
      </c>
      <c r="E17" s="2245" t="s">
        <v>1932</v>
      </c>
      <c r="F17" s="2246"/>
      <c r="G17" s="2247"/>
      <c r="H17" s="2248" t="s">
        <v>1944</v>
      </c>
      <c r="I17" s="2249" t="s">
        <v>1929</v>
      </c>
      <c r="J17" s="1393"/>
      <c r="K17" s="3038" t="s">
        <v>1945</v>
      </c>
      <c r="L17" s="3039"/>
      <c r="M17" s="3040"/>
      <c r="N17" s="3038" t="s">
        <v>1946</v>
      </c>
      <c r="O17" s="3039"/>
      <c r="P17" s="3040"/>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3287" t="s">
        <v>3064</v>
      </c>
      <c r="D19" s="48">
        <f>ROUND($D$3*E19/$E$3,2)</f>
        <v>634.52</v>
      </c>
      <c r="E19" s="56">
        <f t="shared" ref="E19:E26" si="1">SUM(F19:G19)</f>
        <v>6074.74</v>
      </c>
      <c r="F19" s="57"/>
      <c r="G19" s="58">
        <f>'数据-基础表'!I5</f>
        <v>6074.74</v>
      </c>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634.52</v>
      </c>
      <c r="S19" s="1249">
        <f t="shared" si="5"/>
        <v>6074.74</v>
      </c>
    </row>
    <row r="20" spans="1:19">
      <c r="A20" s="2261"/>
      <c r="B20" s="50" t="s">
        <v>1958</v>
      </c>
      <c r="C20" s="3287" t="s">
        <v>3065</v>
      </c>
      <c r="D20" s="48">
        <f t="shared" ref="D20:D26" si="6">ROUND($D$3*E20/$E$3,2)</f>
        <v>2203.91</v>
      </c>
      <c r="E20" s="56">
        <f t="shared" si="1"/>
        <v>21099.64</v>
      </c>
      <c r="F20" s="57">
        <f>'数据-基础表'!K5</f>
        <v>16984.89</v>
      </c>
      <c r="G20" s="58">
        <f>'数据-基础表'!O17</f>
        <v>4114.75</v>
      </c>
      <c r="H20" s="723">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2203.91</v>
      </c>
      <c r="S20" s="1249">
        <f t="shared" si="5"/>
        <v>21099.64</v>
      </c>
    </row>
    <row r="21" spans="1:19">
      <c r="A21" s="2261"/>
      <c r="B21" s="50" t="s">
        <v>1958</v>
      </c>
      <c r="C21" s="3287" t="s">
        <v>3088</v>
      </c>
      <c r="D21" s="48">
        <f t="shared" si="6"/>
        <v>1714.03</v>
      </c>
      <c r="E21" s="56">
        <f t="shared" si="1"/>
        <v>16409.68</v>
      </c>
      <c r="F21" s="3289">
        <f>租约!J104</f>
        <v>16409.68</v>
      </c>
      <c r="G21" s="58"/>
      <c r="H21" s="723">
        <f t="shared" si="7"/>
        <v>0</v>
      </c>
      <c r="I21" s="51">
        <f t="shared" si="2"/>
        <v>0</v>
      </c>
      <c r="J21" s="1393"/>
      <c r="K21" s="1392">
        <f t="shared" si="3"/>
        <v>0</v>
      </c>
      <c r="L21" s="1248">
        <f t="shared" si="4"/>
        <v>0</v>
      </c>
      <c r="M21" s="1404">
        <f t="shared" si="8"/>
        <v>0</v>
      </c>
      <c r="N21" s="2259"/>
      <c r="O21" s="2260"/>
      <c r="P21" s="1404">
        <f t="shared" si="9"/>
        <v>0</v>
      </c>
      <c r="R21" s="1248">
        <f t="shared" si="5"/>
        <v>1714.03</v>
      </c>
      <c r="S21" s="1249">
        <f t="shared" si="5"/>
        <v>16409.68</v>
      </c>
    </row>
    <row r="22" spans="1:19">
      <c r="A22" s="2261"/>
      <c r="B22" s="50" t="s">
        <v>1958</v>
      </c>
      <c r="C22" s="60" t="s">
        <v>3089</v>
      </c>
      <c r="D22" s="48">
        <f t="shared" si="6"/>
        <v>612.47</v>
      </c>
      <c r="E22" s="56">
        <f t="shared" si="1"/>
        <v>5863.5999999999985</v>
      </c>
      <c r="F22" s="3290">
        <f>'数据-基础表'!M5-'数据-汇总表'!F21</f>
        <v>5863.5999999999985</v>
      </c>
      <c r="G22" s="62"/>
      <c r="H22" s="723">
        <f t="shared" si="7"/>
        <v>0</v>
      </c>
      <c r="I22" s="51">
        <f t="shared" si="2"/>
        <v>0</v>
      </c>
      <c r="J22" s="1393"/>
      <c r="K22" s="1392">
        <f t="shared" si="3"/>
        <v>0</v>
      </c>
      <c r="L22" s="1248">
        <f t="shared" si="4"/>
        <v>0</v>
      </c>
      <c r="M22" s="1404">
        <f t="shared" si="8"/>
        <v>0</v>
      </c>
      <c r="N22" s="2259"/>
      <c r="O22" s="2260"/>
      <c r="P22" s="1404">
        <f t="shared" si="9"/>
        <v>0</v>
      </c>
      <c r="R22" s="1248">
        <f t="shared" si="5"/>
        <v>612.47</v>
      </c>
      <c r="S22" s="1249">
        <f t="shared" si="5"/>
        <v>5863.5999999999985</v>
      </c>
    </row>
    <row r="23" spans="1:19">
      <c r="A23" s="2261"/>
      <c r="B23" s="50" t="s">
        <v>1958</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15.75" thickBot="1">
      <c r="A27" s="2261"/>
      <c r="B27" s="48"/>
      <c r="C27" s="2264" t="s">
        <v>1959</v>
      </c>
      <c r="D27" s="1394">
        <f>SUM(D19:D26)</f>
        <v>5164.93</v>
      </c>
      <c r="E27" s="1395">
        <f>IF(SUM(E19:E26)='数据-基础表'!BA5,SUM(E19:E26),IF(F27="地上面积有误","面积有误","地下面积有误"))</f>
        <v>49447.659999999996</v>
      </c>
      <c r="F27" s="1394">
        <f>IF(SUM(F19:F26)=E8,SUM(F19:F26),"地上面积有误")</f>
        <v>39258.17</v>
      </c>
      <c r="G27" s="1396">
        <f>SUM(G19:G26)</f>
        <v>10189.49</v>
      </c>
      <c r="H27" s="1397">
        <f>SUM(H19:H26)</f>
        <v>0</v>
      </c>
      <c r="I27" s="1398">
        <f>SUM(I19:I26)</f>
        <v>0</v>
      </c>
      <c r="J27" s="1393"/>
      <c r="K27" s="1401">
        <f t="shared" ref="K27:P27" si="10">SUM(K19:K26)</f>
        <v>0</v>
      </c>
      <c r="L27" s="1402">
        <f t="shared" si="10"/>
        <v>0</v>
      </c>
      <c r="M27" s="1405">
        <f t="shared" si="10"/>
        <v>0</v>
      </c>
      <c r="N27" s="1401">
        <f t="shared" si="10"/>
        <v>0</v>
      </c>
      <c r="O27" s="1402">
        <f t="shared" si="10"/>
        <v>0</v>
      </c>
      <c r="P27" s="1403">
        <f t="shared" si="10"/>
        <v>0</v>
      </c>
      <c r="R27" s="1250" t="str">
        <f>IF(SUM(R19:R26)=$D$3,SUM(R19:R26),SUM(R19:R26)&amp;"误差"&amp;ROUND(SUM(R19:R26)-$D$3,2))</f>
        <v>5164.93误差-70.27</v>
      </c>
      <c r="S27" s="1248" t="str">
        <f>IF(SUM(S19:S26)=$E$3,SUM(S19:S26),SUM(S19:S26)&amp;"误差"&amp;ROUND(SUM(S19:S26)-E3,2))</f>
        <v>49447.66误差-672.66</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70.260000000000005</v>
      </c>
      <c r="E29" s="56">
        <f>SUM(F29:G29)</f>
        <v>672.66000000000008</v>
      </c>
      <c r="F29" s="66">
        <f>'数据-基础表'!BM5+'数据-基础表'!BO5</f>
        <v>0</v>
      </c>
      <c r="G29" s="67">
        <f>'数据-基础表'!BN5+'数据-基础表'!BP5</f>
        <v>672.66000000000008</v>
      </c>
      <c r="H29" s="1393"/>
      <c r="I29" s="1393"/>
      <c r="J29" s="1393"/>
      <c r="K29" s="1393"/>
      <c r="L29" s="1393"/>
      <c r="M29" s="1393"/>
      <c r="N29" s="1393"/>
      <c r="O29" s="1393"/>
      <c r="P29" s="1393"/>
    </row>
    <row r="30" spans="1:19" ht="15">
      <c r="A30" s="2261"/>
      <c r="B30" s="50"/>
      <c r="C30" s="2266" t="s">
        <v>1959</v>
      </c>
      <c r="D30" s="1394">
        <f>SUM(D28:D29)</f>
        <v>70.260000000000005</v>
      </c>
      <c r="E30" s="1394">
        <f>SUM(E28:E29)</f>
        <v>672.66000000000008</v>
      </c>
      <c r="F30" s="1394">
        <f>SUM(F28:F29)</f>
        <v>0</v>
      </c>
      <c r="G30" s="1396">
        <f>SUM(G28:G29)</f>
        <v>672.66000000000008</v>
      </c>
      <c r="H30" s="1393"/>
      <c r="I30" s="1393"/>
      <c r="J30" s="1393"/>
      <c r="K30" s="1393"/>
      <c r="L30" s="1393"/>
      <c r="M30" s="1393"/>
      <c r="N30" s="1393"/>
      <c r="O30" s="1393"/>
      <c r="P30" s="1393"/>
    </row>
    <row r="31" spans="1:19" ht="15.75" thickBot="1">
      <c r="A31" s="2267"/>
      <c r="B31" s="2268"/>
      <c r="C31" s="1008" t="s">
        <v>1963</v>
      </c>
      <c r="D31" s="729">
        <f>D27+D30</f>
        <v>5235.1900000000005</v>
      </c>
      <c r="E31" s="729">
        <f>E27+E30</f>
        <v>50120.32</v>
      </c>
      <c r="F31" s="730">
        <f>F27+F30</f>
        <v>39258.17</v>
      </c>
      <c r="G31" s="731">
        <f>G27+G30</f>
        <v>10862.15</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M15" sqref="AM1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0.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1966</v>
      </c>
      <c r="B2" s="1267">
        <f>项目基本情况!D3</f>
        <v>43458</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3066</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4" t="str">
        <f>'数据-汇总表'!C19</f>
        <v>车库</v>
      </c>
      <c r="B6" s="2305" t="str">
        <f>IF(A6=0,"","经营性")</f>
        <v>经营性</v>
      </c>
      <c r="C6" s="3288" t="s">
        <v>3081</v>
      </c>
      <c r="D6" s="1052">
        <f>SUMIF(项目基本情况!D$12:I$12,C6,项目基本情况!D$14:I$14)</f>
        <v>50</v>
      </c>
      <c r="E6" s="1049">
        <f>IF(B6="","",SUMIF(项目基本情况!D$12:I$12,C6,项目基本情况!D$13:I$13))</f>
        <v>57383</v>
      </c>
      <c r="F6" s="72">
        <f>SUMIF(项目基本情况!D$12:I$12,C6,项目基本情况!D$15:I$15)</f>
        <v>38.15</v>
      </c>
      <c r="G6" s="73">
        <f t="shared" ref="G6:G13" si="0">IF(ISERROR(ROUND(POWER(1+H6,D6-F6)*(POWER(1+H6,F6)-1)/(POWER(1+H6,D6)-1),3)),0,ROUND(POWER(1+H6,D6-F6)*(POWER(1+H6,F6)-1)/(POWER(1+H6,D6)-1),3))</f>
        <v>0.91500000000000004</v>
      </c>
      <c r="H6" s="802">
        <v>4.4999999999999998E-2</v>
      </c>
      <c r="I6" s="802">
        <v>0.05</v>
      </c>
      <c r="J6" s="74">
        <v>8.5000000000000006E-2</v>
      </c>
      <c r="K6" s="1252">
        <f>SUMIF('数据-汇总表'!C$19:C$33,A6,'数据-汇总表'!E$19:E$33)</f>
        <v>6074.74</v>
      </c>
      <c r="L6" s="803">
        <v>3000</v>
      </c>
      <c r="M6" s="75">
        <f t="shared" ref="M6:M14" si="1">ROUND(K6*L6/10000,0)</f>
        <v>1822</v>
      </c>
      <c r="N6" s="801">
        <f>1-4/60</f>
        <v>0.93333333333333335</v>
      </c>
      <c r="O6" s="75" t="str">
        <f>IF($N$5="成新度","——",ROUND(M6*N6,0))</f>
        <v>——</v>
      </c>
      <c r="P6" s="76" t="str">
        <f>IF($N$5="成新度","——",M6-O6)</f>
        <v>——</v>
      </c>
      <c r="Q6" s="804">
        <v>0.15</v>
      </c>
      <c r="R6" s="77">
        <f ca="1">SUMIF('数据-汇总表'!C$19:C$33,A6,'数据-汇总表'!R$19:R$27)</f>
        <v>634.52</v>
      </c>
      <c r="S6" s="54">
        <f>IF('数据-汇总表'!$I$17="按面积比例",SUMIF('数据-汇总表'!C$19:C$33,A6,'数据-汇总表'!K$19:K$33),SUMIF('数据-汇总表'!C$19:C$33,A6,'数据-汇总表'!N$19:N$33))</f>
        <v>0</v>
      </c>
      <c r="T6" s="1444">
        <f>ROUND($L$14*S6/10000,0)</f>
        <v>0</v>
      </c>
      <c r="U6" s="78">
        <v>1200</v>
      </c>
      <c r="V6" s="79">
        <v>0.03</v>
      </c>
      <c r="W6" s="79">
        <v>0.1</v>
      </c>
      <c r="X6" s="1262"/>
      <c r="Y6" s="80">
        <f>N6</f>
        <v>0.93333333333333335</v>
      </c>
      <c r="Z6" s="81"/>
      <c r="AA6" s="74"/>
      <c r="AB6" s="74"/>
      <c r="AC6" s="1262"/>
      <c r="AD6" s="82"/>
      <c r="AE6" s="1263">
        <f ca="1">IF(AN6="",0,SUMIF(INDIRECT("'"&amp;AN6&amp;"'"&amp;"!E:E"),$AE$5,INDIRECT("'"&amp;AN6&amp;"'"&amp;"!F:F")))</f>
        <v>38.15</v>
      </c>
      <c r="AF6" s="1805"/>
      <c r="AG6" s="147">
        <f>IF(AF6="",0,AE6-AF6)</f>
        <v>0</v>
      </c>
      <c r="AH6" s="83">
        <f>128</f>
        <v>128</v>
      </c>
      <c r="AI6" s="85">
        <v>12</v>
      </c>
      <c r="AJ6" s="86">
        <f>面积!D4</f>
        <v>126</v>
      </c>
      <c r="AK6" s="87">
        <v>1.4999999999999999E-2</v>
      </c>
      <c r="AL6" s="88">
        <v>1.5E-3</v>
      </c>
      <c r="AM6" s="89">
        <v>0.01</v>
      </c>
      <c r="AN6" s="2307" t="s">
        <v>3078</v>
      </c>
      <c r="AO6" s="55">
        <f ca="1">SUMIF(INDIRECT("'"&amp;AN6&amp;"'"&amp;"!A:A"),"总价",INDIRECT("'"&amp;AN6&amp;"'"&amp;"!B:B"))</f>
        <v>2405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酒店</v>
      </c>
      <c r="B7" s="2305" t="str">
        <f t="shared" ref="B7:B13" si="2">IF(A7=0,"","经营性")</f>
        <v>经营性</v>
      </c>
      <c r="C7" s="3288" t="s">
        <v>3080</v>
      </c>
      <c r="D7" s="1052">
        <f>SUMIF(项目基本情况!D$12:I$12,C7,项目基本情况!D$14:I$14)</f>
        <v>40</v>
      </c>
      <c r="E7" s="1049">
        <f>IF(B7="","",SUMIF(项目基本情况!D$12:I$12,C7,项目基本情况!D$13:I$13))</f>
        <v>53730</v>
      </c>
      <c r="F7" s="72">
        <f>SUMIF(项目基本情况!D$12:I$12,C7,项目基本情况!D$15:I$15)</f>
        <v>28.14</v>
      </c>
      <c r="G7" s="73">
        <f t="shared" si="0"/>
        <v>0.88200000000000001</v>
      </c>
      <c r="H7" s="802">
        <v>5.5E-2</v>
      </c>
      <c r="I7" s="802">
        <v>0.06</v>
      </c>
      <c r="J7" s="74">
        <v>8.5000000000000006E-2</v>
      </c>
      <c r="K7" s="1252">
        <f>SUMIF('数据-汇总表'!C$19:C$33,A7,'数据-汇总表'!E$19:E$33)</f>
        <v>21099.64</v>
      </c>
      <c r="L7" s="803">
        <v>6000</v>
      </c>
      <c r="M7" s="75">
        <f t="shared" si="1"/>
        <v>12660</v>
      </c>
      <c r="N7" s="801">
        <f t="shared" ref="N7:N9" si="3">1-4/60</f>
        <v>0.93333333333333335</v>
      </c>
      <c r="O7" s="75" t="str">
        <f t="shared" ref="O7:O14" si="4">IF($N$5="成新度","——",ROUND(M7*N7,0))</f>
        <v>——</v>
      </c>
      <c r="P7" s="76" t="str">
        <f t="shared" ref="P7:P14" si="5">IF($N$5="成新度","——",M7-O7)</f>
        <v>——</v>
      </c>
      <c r="Q7" s="804">
        <v>0.25</v>
      </c>
      <c r="R7" s="77">
        <f ca="1">SUMIF('数据-汇总表'!C$19:C$33,A7,'数据-汇总表'!R$19:R$27)</f>
        <v>2203.91</v>
      </c>
      <c r="S7" s="54">
        <f>IF('数据-汇总表'!$I$17="按面积比例",SUMIF('数据-汇总表'!C$19:C$33,A7,'数据-汇总表'!K$19:K$33),SUMIF('数据-汇总表'!C$19:C$33,A7,'数据-汇总表'!N$19:N$33))</f>
        <v>0</v>
      </c>
      <c r="T7" s="1444">
        <f t="shared" ref="T7:T13" si="6">ROUND($L$14*S7/10000,0)</f>
        <v>0</v>
      </c>
      <c r="U7" s="78">
        <f>酒店收入计算!E26*10000</f>
        <v>19350000</v>
      </c>
      <c r="V7" s="79">
        <v>0.04</v>
      </c>
      <c r="W7" s="79">
        <v>0</v>
      </c>
      <c r="X7" s="1262"/>
      <c r="Y7" s="80">
        <f t="shared" ref="Y7:Y8" si="7">N7</f>
        <v>0.93333333333333335</v>
      </c>
      <c r="Z7" s="81"/>
      <c r="AA7" s="74"/>
      <c r="AB7" s="74"/>
      <c r="AC7" s="1262"/>
      <c r="AD7" s="82"/>
      <c r="AE7" s="1263">
        <f t="shared" ref="AE7:AE13" ca="1" si="8">IF(AN7="",0,SUMIF(INDIRECT("'"&amp;AN7&amp;"'"&amp;"!E:E"),$AE$5,INDIRECT("'"&amp;AN7&amp;"'"&amp;"!F:F")))</f>
        <v>28.14</v>
      </c>
      <c r="AF7" s="1805"/>
      <c r="AG7" s="147">
        <f t="shared" ref="AG7:AG13" si="9">IF(AF7="",0,AE7-AF7)</f>
        <v>0</v>
      </c>
      <c r="AH7" s="83">
        <v>1</v>
      </c>
      <c r="AI7" s="85">
        <v>1</v>
      </c>
      <c r="AJ7" s="86">
        <f>面积!D1</f>
        <v>452</v>
      </c>
      <c r="AK7" s="87">
        <v>0.02</v>
      </c>
      <c r="AL7" s="88">
        <v>2E-3</v>
      </c>
      <c r="AM7" s="89">
        <v>0.02</v>
      </c>
      <c r="AN7" s="2307" t="s">
        <v>3076</v>
      </c>
      <c r="AO7" s="55">
        <f t="shared" ref="AO7:AO13" ca="1" si="10">SUMIF(INDIRECT("'"&amp;AN7&amp;"'"&amp;"!A:A"),"总价",INDIRECT("'"&amp;AN7&amp;"'"&amp;"!B:B"))</f>
        <v>24229</v>
      </c>
      <c r="AP7" s="2308">
        <f t="shared" ref="AP7:AP13" si="11">IF(C7="住宅",K7*L7,0)</f>
        <v>0</v>
      </c>
      <c r="AQ7" s="55">
        <f t="shared" ref="AQ7:AQ13" si="12">ROUND($L$14*$N$14*S7/10000,0)</f>
        <v>0</v>
      </c>
      <c r="AR7" s="55">
        <f t="shared" ref="AR7:AR13" si="13">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t="str">
        <f>'数据-汇总表'!C21</f>
        <v>办公-出租</v>
      </c>
      <c r="B8" s="2305" t="str">
        <f t="shared" si="2"/>
        <v>经营性</v>
      </c>
      <c r="C8" s="2306" t="s">
        <v>27</v>
      </c>
      <c r="D8" s="1052">
        <f>SUMIF(项目基本情况!D$12:I$12,C8,项目基本情况!D$14:I$14)</f>
        <v>50</v>
      </c>
      <c r="E8" s="1049">
        <f>IF(B8="","",SUMIF(项目基本情况!D$12:I$12,C8,项目基本情况!D$13:I$13))</f>
        <v>57383</v>
      </c>
      <c r="F8" s="72">
        <f>SUMIF(项目基本情况!D$12:I$12,C8,项目基本情况!D$15:I$15)</f>
        <v>38.15</v>
      </c>
      <c r="G8" s="73">
        <f t="shared" si="0"/>
        <v>0.92500000000000004</v>
      </c>
      <c r="H8" s="802">
        <v>0.05</v>
      </c>
      <c r="I8" s="802">
        <v>5.5E-2</v>
      </c>
      <c r="J8" s="74">
        <v>8.5000000000000006E-2</v>
      </c>
      <c r="K8" s="1252">
        <f>SUMIF('数据-汇总表'!C$19:C$33,A8,'数据-汇总表'!E$19:E$33)</f>
        <v>16409.68</v>
      </c>
      <c r="L8" s="803">
        <v>3500</v>
      </c>
      <c r="M8" s="75">
        <f>ROUND(K8*L8/10000,0)</f>
        <v>5743</v>
      </c>
      <c r="N8" s="801">
        <f t="shared" si="3"/>
        <v>0.93333333333333335</v>
      </c>
      <c r="O8" s="75" t="str">
        <f t="shared" si="4"/>
        <v>——</v>
      </c>
      <c r="P8" s="76" t="str">
        <f t="shared" si="5"/>
        <v>——</v>
      </c>
      <c r="Q8" s="804">
        <v>0.2</v>
      </c>
      <c r="R8" s="77">
        <f ca="1">SUMIF('数据-汇总表'!C$19:C$33,A8,'数据-汇总表'!R$19:R$27)</f>
        <v>1714.03</v>
      </c>
      <c r="S8" s="54">
        <f>IF('数据-汇总表'!$I$17="按面积比例",SUMIF('数据-汇总表'!C$19:C$33,A8,'数据-汇总表'!K$19:K$33),SUMIF('数据-汇总表'!C$19:C$33,A8,'数据-汇总表'!N$19:N$33))</f>
        <v>0</v>
      </c>
      <c r="T8" s="1444">
        <f t="shared" si="6"/>
        <v>0</v>
      </c>
      <c r="U8" s="3566">
        <f>租约!K110</f>
        <v>8.1</v>
      </c>
      <c r="V8" s="805">
        <v>0.02</v>
      </c>
      <c r="W8" s="805">
        <v>0</v>
      </c>
      <c r="X8" s="1262"/>
      <c r="Y8" s="80">
        <f t="shared" si="7"/>
        <v>0.93333333333333335</v>
      </c>
      <c r="Z8" s="81">
        <f>ROUND(U9*(1+AA8)^AF8,1)</f>
        <v>11.9</v>
      </c>
      <c r="AA8" s="74">
        <v>3.5000000000000003E-2</v>
      </c>
      <c r="AB8" s="74">
        <v>0.1</v>
      </c>
      <c r="AC8" s="1262"/>
      <c r="AD8" s="82"/>
      <c r="AE8" s="1263">
        <f t="shared" ca="1" si="8"/>
        <v>38.15</v>
      </c>
      <c r="AF8" s="1805">
        <f>租约!B111</f>
        <v>5.01</v>
      </c>
      <c r="AG8" s="147">
        <f t="shared" ca="1" si="9"/>
        <v>33.14</v>
      </c>
      <c r="AH8" s="806"/>
      <c r="AI8" s="85">
        <v>365</v>
      </c>
      <c r="AJ8" s="86">
        <f>面积!D2</f>
        <v>347</v>
      </c>
      <c r="AK8" s="807">
        <v>1.4999999999999999E-2</v>
      </c>
      <c r="AL8" s="808">
        <v>1.5E-3</v>
      </c>
      <c r="AM8" s="809">
        <v>0.01</v>
      </c>
      <c r="AN8" s="2307" t="s">
        <v>3302</v>
      </c>
      <c r="AO8" s="55">
        <f t="shared" ca="1" si="10"/>
        <v>108897</v>
      </c>
      <c r="AP8" s="2308">
        <f t="shared" si="11"/>
        <v>0</v>
      </c>
      <c r="AQ8" s="55">
        <f t="shared" si="12"/>
        <v>0</v>
      </c>
      <c r="AR8" s="55">
        <f t="shared" si="13"/>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t="str">
        <f>'数据-汇总表'!C22</f>
        <v>办公-未出租</v>
      </c>
      <c r="B9" s="2305" t="str">
        <f t="shared" si="2"/>
        <v>经营性</v>
      </c>
      <c r="C9" s="2306" t="s">
        <v>27</v>
      </c>
      <c r="D9" s="1052">
        <f>SUMIF(项目基本情况!D$12:I$12,C9,项目基本情况!D$14:I$14)</f>
        <v>50</v>
      </c>
      <c r="E9" s="1049">
        <f>IF(B9="","",SUMIF(项目基本情况!D$12:I$12,C9,项目基本情况!D$13:I$13))</f>
        <v>57383</v>
      </c>
      <c r="F9" s="72">
        <f>SUMIF(项目基本情况!D$12:I$12,C9,项目基本情况!D$15:I$15)</f>
        <v>38.15</v>
      </c>
      <c r="G9" s="73">
        <f t="shared" si="0"/>
        <v>0.92500000000000004</v>
      </c>
      <c r="H9" s="802">
        <v>0.05</v>
      </c>
      <c r="I9" s="802">
        <v>5.5E-2</v>
      </c>
      <c r="J9" s="74">
        <v>8.5000000000000006E-2</v>
      </c>
      <c r="K9" s="1252">
        <f>SUMIF('数据-汇总表'!C$19:C$33,A9,'数据-汇总表'!E$19:E$33)</f>
        <v>5863.5999999999985</v>
      </c>
      <c r="L9" s="803">
        <v>3500</v>
      </c>
      <c r="M9" s="75">
        <f t="shared" si="1"/>
        <v>2052</v>
      </c>
      <c r="N9" s="801">
        <f t="shared" si="3"/>
        <v>0.93333333333333335</v>
      </c>
      <c r="O9" s="75" t="str">
        <f t="shared" si="4"/>
        <v>——</v>
      </c>
      <c r="P9" s="76" t="str">
        <f t="shared" si="5"/>
        <v>——</v>
      </c>
      <c r="Q9" s="90">
        <v>0.2</v>
      </c>
      <c r="R9" s="77">
        <f ca="1">SUMIF('数据-汇总表'!C$19:C$33,A9,'数据-汇总表'!R$19:R$27)</f>
        <v>612.47</v>
      </c>
      <c r="S9" s="54">
        <f>IF('数据-汇总表'!$I$17="按面积比例",SUMIF('数据-汇总表'!C$19:C$33,A9,'数据-汇总表'!K$19:K$33),SUMIF('数据-汇总表'!C$19:C$33,A9,'数据-汇总表'!N$19:N$33))</f>
        <v>0</v>
      </c>
      <c r="T9" s="1444">
        <f t="shared" si="6"/>
        <v>0</v>
      </c>
      <c r="U9" s="78">
        <v>10</v>
      </c>
      <c r="V9" s="79">
        <v>3.5000000000000003E-2</v>
      </c>
      <c r="W9" s="79">
        <v>0.1</v>
      </c>
      <c r="X9" s="1262"/>
      <c r="Y9" s="80"/>
      <c r="Z9" s="81"/>
      <c r="AA9" s="74"/>
      <c r="AB9" s="74"/>
      <c r="AC9" s="1262"/>
      <c r="AD9" s="82"/>
      <c r="AE9" s="1263">
        <f t="shared" ca="1" si="8"/>
        <v>38.15</v>
      </c>
      <c r="AF9" s="1805"/>
      <c r="AG9" s="147">
        <f t="shared" si="9"/>
        <v>0</v>
      </c>
      <c r="AH9" s="83"/>
      <c r="AI9" s="85">
        <v>365</v>
      </c>
      <c r="AJ9" s="86">
        <f>面积!D3</f>
        <v>126</v>
      </c>
      <c r="AK9" s="807">
        <v>1.4999999999999999E-2</v>
      </c>
      <c r="AL9" s="808">
        <v>1.5E-3</v>
      </c>
      <c r="AM9" s="809">
        <v>0.01</v>
      </c>
      <c r="AN9" s="2307" t="s">
        <v>3300</v>
      </c>
      <c r="AO9" s="55">
        <f t="shared" ca="1" si="10"/>
        <v>39609</v>
      </c>
      <c r="AP9" s="2308">
        <f t="shared" si="11"/>
        <v>0</v>
      </c>
      <c r="AQ9" s="55">
        <f t="shared" si="12"/>
        <v>0</v>
      </c>
      <c r="AR9" s="55">
        <f t="shared" si="13"/>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2"/>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0"/>
        <v>0</v>
      </c>
      <c r="H10" s="74"/>
      <c r="I10" s="74"/>
      <c r="J10" s="74"/>
      <c r="K10" s="1252">
        <f>SUMIF('数据-汇总表'!C$19:C$33,A10,'数据-汇总表'!E$19:E$33)</f>
        <v>0</v>
      </c>
      <c r="L10" s="803"/>
      <c r="M10" s="75">
        <f t="shared" si="1"/>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8"/>
        <v>0</v>
      </c>
      <c r="AF10" s="1805"/>
      <c r="AG10" s="147">
        <f t="shared" si="9"/>
        <v>0</v>
      </c>
      <c r="AH10" s="83"/>
      <c r="AI10" s="85"/>
      <c r="AJ10" s="86"/>
      <c r="AK10" s="87"/>
      <c r="AL10" s="88"/>
      <c r="AM10" s="89"/>
      <c r="AN10" s="2307"/>
      <c r="AO10" s="55" t="e">
        <f t="shared" ca="1" si="10"/>
        <v>#REF!</v>
      </c>
      <c r="AP10" s="2308">
        <f t="shared" si="11"/>
        <v>0</v>
      </c>
      <c r="AQ10" s="55">
        <f t="shared" si="12"/>
        <v>0</v>
      </c>
      <c r="AR10" s="55">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2"/>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0"/>
        <v>0</v>
      </c>
      <c r="H11" s="74"/>
      <c r="I11" s="74"/>
      <c r="J11" s="74"/>
      <c r="K11" s="1252">
        <f>SUMIF('数据-汇总表'!C$19:C$33,A11,'数据-汇总表'!E$19:E$33)</f>
        <v>0</v>
      </c>
      <c r="L11" s="91"/>
      <c r="M11" s="75">
        <f t="shared" si="1"/>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8"/>
        <v>0</v>
      </c>
      <c r="AF11" s="1805"/>
      <c r="AG11" s="147">
        <f t="shared" si="9"/>
        <v>0</v>
      </c>
      <c r="AH11" s="83"/>
      <c r="AI11" s="85"/>
      <c r="AJ11" s="86"/>
      <c r="AK11" s="94"/>
      <c r="AL11" s="95"/>
      <c r="AM11" s="96"/>
      <c r="AN11" s="2307"/>
      <c r="AO11" s="55" t="e">
        <f t="shared" ca="1" si="10"/>
        <v>#REF!</v>
      </c>
      <c r="AP11" s="2308">
        <f t="shared" si="11"/>
        <v>0</v>
      </c>
      <c r="AQ11" s="55">
        <f t="shared" si="12"/>
        <v>0</v>
      </c>
      <c r="AR11" s="55">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2"/>
        <v/>
      </c>
      <c r="C12" s="2306"/>
      <c r="D12" s="1052">
        <f>SUMIF(项目基本情况!D$12:I$12,C12,项目基本情况!D$14:I$14)</f>
        <v>0</v>
      </c>
      <c r="E12" s="1049" t="str">
        <f>IF(B12="","",SUMIF(项目基本情况!D$12:I$12,C12,项目基本情况!D$13:I$13))</f>
        <v/>
      </c>
      <c r="F12" s="72">
        <f>SUMIF(项目基本情况!D$12:I$12,C12,项目基本情况!D$15:I$15)</f>
        <v>0</v>
      </c>
      <c r="G12" s="73">
        <f t="shared" si="0"/>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8"/>
        <v>0</v>
      </c>
      <c r="AF12" s="1805"/>
      <c r="AG12" s="147">
        <f t="shared" si="9"/>
        <v>0</v>
      </c>
      <c r="AH12" s="83"/>
      <c r="AI12" s="85"/>
      <c r="AJ12" s="86"/>
      <c r="AK12" s="94"/>
      <c r="AL12" s="95"/>
      <c r="AM12" s="96"/>
      <c r="AN12" s="2307"/>
      <c r="AO12" s="55" t="e">
        <f t="shared" ca="1" si="10"/>
        <v>#REF!</v>
      </c>
      <c r="AP12" s="2308">
        <f t="shared" si="11"/>
        <v>0</v>
      </c>
      <c r="AQ12" s="55">
        <f t="shared" si="12"/>
        <v>0</v>
      </c>
      <c r="AR12" s="55">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2"/>
        <v/>
      </c>
      <c r="C13" s="2306"/>
      <c r="D13" s="1052">
        <f>SUMIF(项目基本情况!D$12:I$12,C13,项目基本情况!D$14:I$14)</f>
        <v>0</v>
      </c>
      <c r="E13" s="1049" t="str">
        <f>IF(B13="","",SUMIF(项目基本情况!D$12:I$12,C13,项目基本情况!D$13:I$13))</f>
        <v/>
      </c>
      <c r="F13" s="72">
        <f>SUMIF(项目基本情况!D$12:I$12,C13,项目基本情况!D$15:I$15)</f>
        <v>0</v>
      </c>
      <c r="G13" s="73">
        <f t="shared" si="0"/>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8"/>
        <v>0</v>
      </c>
      <c r="AF13" s="1805"/>
      <c r="AG13" s="147">
        <f t="shared" si="9"/>
        <v>0</v>
      </c>
      <c r="AH13" s="83"/>
      <c r="AI13" s="85"/>
      <c r="AJ13" s="86"/>
      <c r="AK13" s="87"/>
      <c r="AL13" s="88"/>
      <c r="AM13" s="89"/>
      <c r="AN13" s="2307"/>
      <c r="AO13" s="55" t="e">
        <f t="shared" ca="1" si="10"/>
        <v>#REF!</v>
      </c>
      <c r="AP13" s="2308">
        <f t="shared" si="11"/>
        <v>0</v>
      </c>
      <c r="AQ13" s="55">
        <f t="shared" si="12"/>
        <v>0</v>
      </c>
      <c r="AR13" s="55">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1"/>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2012</v>
      </c>
      <c r="B15" s="2305" t="s">
        <v>2011</v>
      </c>
      <c r="C15" s="2310" t="s">
        <v>2013</v>
      </c>
      <c r="D15" s="1052"/>
      <c r="E15" s="1049"/>
      <c r="F15" s="72"/>
      <c r="G15" s="73"/>
      <c r="H15" s="1251"/>
      <c r="I15" s="1251"/>
      <c r="J15" s="1251"/>
      <c r="K15" s="1252">
        <f>SUMIF('数据-汇总表'!C$19:C$33,A15,'数据-汇总表'!E$19:E$33)</f>
        <v>672.66000000000008</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2014</v>
      </c>
      <c r="B16" s="97"/>
      <c r="C16" s="1006"/>
      <c r="D16" s="2312"/>
      <c r="E16" s="97"/>
      <c r="F16" s="97"/>
      <c r="G16" s="98">
        <f>ROUND(SUMPRODUCT(G6:G13,K6:K13)/SUMPRODUCT((G6:G13&gt;0)*(K6:K13)),3)</f>
        <v>0.90500000000000003</v>
      </c>
      <c r="H16" s="99">
        <f>ROUND(SUMPRODUCT(H6:H13,K6:K13)/SUMPRODUCT((H6:H13&gt;0)*(K6:K13)),3)</f>
        <v>5.1999999999999998E-2</v>
      </c>
      <c r="I16" s="100"/>
      <c r="J16" s="100"/>
      <c r="K16" s="101">
        <f>SUM(K6:K15)</f>
        <v>50120.32</v>
      </c>
      <c r="L16" s="102">
        <f>ROUND(M16*10000/SUM(K6:K14),0)</f>
        <v>4505</v>
      </c>
      <c r="M16" s="102">
        <f>SUM(M6:M14)</f>
        <v>22277</v>
      </c>
      <c r="N16" s="103">
        <f>ROUND(SUMPRODUCT(M6:M14,N6:N14)/M16,3)</f>
        <v>0.93300000000000005</v>
      </c>
      <c r="O16" s="102">
        <f>SUM(O6:O14)</f>
        <v>0</v>
      </c>
      <c r="P16" s="102">
        <f>SUM(P6:P14)</f>
        <v>0</v>
      </c>
      <c r="Q16" s="104">
        <f>ROUND(SUMPRODUCT(Q6:Q13,K6:K13)/SUMPRODUCT((Q6:Q13&gt;0)*(K6:K13)),2)</f>
        <v>0.22</v>
      </c>
      <c r="R16" s="1256">
        <f ca="1">SUM(R6:R13)</f>
        <v>5164.93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v>160</v>
      </c>
      <c r="C27" s="1765"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200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5"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4">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0</v>
      </c>
      <c r="C31" s="1765"/>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5">
        <v>200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6">
        <v>0.03</v>
      </c>
      <c r="C33" s="1764"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0.04</v>
      </c>
      <c r="C34" s="1764" t="s">
        <v>2038</v>
      </c>
      <c r="D34" s="2276" t="s">
        <v>2039</v>
      </c>
      <c r="E34" s="732"/>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4"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4"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4"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4"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4"/>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4"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5.6000000000000001E-2</v>
      </c>
      <c r="C41" s="1765"/>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6.000000000000001E-3</v>
      </c>
      <c r="C43" s="1765"/>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7.0000000000000007E-2</v>
      </c>
      <c r="C44" s="1764"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5"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5"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5"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72"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72"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12</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137</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v>12</v>
      </c>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8"/>
      <c r="L64" s="798"/>
    </row>
    <row r="65" spans="1:12" s="965" customFormat="1">
      <c r="A65" s="2339"/>
      <c r="D65" s="2340"/>
      <c r="K65" s="798"/>
      <c r="L65" s="798"/>
    </row>
    <row r="66" spans="1:12" s="965" customFormat="1">
      <c r="A66" s="2339"/>
      <c r="D66" s="2340"/>
      <c r="K66" s="798"/>
      <c r="L66" s="798"/>
    </row>
    <row r="67" spans="1:12" s="965" customFormat="1">
      <c r="A67" s="2339"/>
      <c r="D67" s="2340"/>
      <c r="K67" s="798"/>
      <c r="L67" s="798"/>
    </row>
    <row r="68" spans="1:12" s="965" customFormat="1">
      <c r="A68" s="2339"/>
      <c r="D68" s="2340"/>
      <c r="K68" s="798"/>
      <c r="L68" s="798"/>
    </row>
    <row r="69" spans="1:12" s="965" customFormat="1">
      <c r="A69" s="2339"/>
      <c r="D69" s="2340"/>
      <c r="K69" s="798"/>
      <c r="L69" s="798"/>
    </row>
    <row r="70" spans="1:12" s="965" customFormat="1">
      <c r="A70" s="2339"/>
      <c r="D70" s="2340"/>
      <c r="K70" s="798"/>
      <c r="L70" s="798"/>
    </row>
    <row r="71" spans="1:12" s="965" customFormat="1">
      <c r="A71" s="2339"/>
      <c r="D71" s="2340"/>
      <c r="K71" s="798"/>
      <c r="L71" s="798"/>
    </row>
    <row r="72" spans="1:12" s="965" customFormat="1">
      <c r="A72" s="2339"/>
      <c r="D72" s="2340"/>
      <c r="K72" s="798"/>
      <c r="L72" s="798"/>
    </row>
    <row r="73" spans="1:12" s="965" customFormat="1">
      <c r="A73" s="2339"/>
      <c r="D73" s="2340"/>
      <c r="K73" s="798"/>
      <c r="L73" s="798"/>
    </row>
    <row r="74" spans="1:12" s="965" customFormat="1">
      <c r="A74" s="2339"/>
      <c r="D74" s="2340"/>
      <c r="K74" s="798"/>
      <c r="L74" s="798"/>
    </row>
    <row r="75" spans="1:12" s="965" customFormat="1">
      <c r="A75" s="2339"/>
      <c r="D75" s="2340"/>
      <c r="K75" s="798"/>
      <c r="L75" s="798"/>
    </row>
    <row r="76" spans="1:12" s="965" customFormat="1">
      <c r="A76" s="2339"/>
      <c r="D76" s="2340"/>
      <c r="K76" s="798"/>
      <c r="L76" s="798"/>
    </row>
    <row r="77" spans="1:12" s="965" customFormat="1">
      <c r="A77" s="2339"/>
      <c r="D77" s="2340"/>
      <c r="K77" s="798"/>
      <c r="L77" s="798"/>
    </row>
    <row r="78" spans="1:12" s="965" customFormat="1">
      <c r="A78" s="2339"/>
      <c r="D78" s="2340"/>
      <c r="K78" s="798"/>
      <c r="L78" s="798"/>
    </row>
    <row r="79" spans="1:12" s="965" customFormat="1">
      <c r="A79" s="2339"/>
      <c r="D79" s="2340"/>
      <c r="K79" s="798"/>
      <c r="L79" s="798"/>
    </row>
    <row r="80" spans="1:12" s="965" customFormat="1">
      <c r="A80" s="2339"/>
      <c r="D80" s="2340"/>
      <c r="K80" s="798"/>
      <c r="L80" s="798"/>
    </row>
    <row r="81" spans="1:12" s="965" customFormat="1">
      <c r="A81" s="2339"/>
      <c r="D81" s="2340"/>
      <c r="K81" s="798"/>
      <c r="L81" s="798"/>
    </row>
    <row r="82" spans="1:12" s="965" customFormat="1">
      <c r="A82" s="2339"/>
      <c r="D82" s="2340"/>
      <c r="K82" s="798"/>
      <c r="L82" s="798"/>
    </row>
    <row r="83" spans="1:12" s="965" customFormat="1">
      <c r="A83" s="2339"/>
      <c r="D83" s="2340"/>
      <c r="K83" s="798"/>
      <c r="L83" s="798"/>
    </row>
    <row r="84" spans="1:12" s="965" customFormat="1">
      <c r="A84" s="2339"/>
      <c r="D84" s="2340"/>
      <c r="K84" s="798"/>
      <c r="L84" s="798"/>
    </row>
    <row r="85" spans="1:12" s="965" customFormat="1">
      <c r="A85" s="2339"/>
      <c r="D85" s="2340"/>
      <c r="K85" s="798"/>
      <c r="L85" s="798"/>
    </row>
    <row r="86" spans="1:12" s="965" customFormat="1">
      <c r="A86" s="2339"/>
      <c r="D86" s="2340"/>
      <c r="K86" s="798"/>
      <c r="L86" s="798"/>
    </row>
    <row r="87" spans="1:12" s="965" customFormat="1">
      <c r="A87" s="2339"/>
      <c r="D87" s="2340"/>
      <c r="K87" s="798"/>
      <c r="L87" s="798"/>
    </row>
    <row r="88" spans="1:12" s="965" customFormat="1">
      <c r="A88" s="2339"/>
      <c r="D88" s="2340"/>
      <c r="K88" s="798"/>
      <c r="L88" s="798"/>
    </row>
    <row r="89" spans="1:12" s="965" customFormat="1">
      <c r="A89" s="2339"/>
      <c r="D89" s="2340"/>
      <c r="K89" s="798"/>
      <c r="L89" s="798"/>
    </row>
    <row r="90" spans="1:12" s="965" customFormat="1">
      <c r="A90" s="2339"/>
      <c r="D90" s="2340"/>
      <c r="K90" s="798"/>
      <c r="L90" s="798"/>
    </row>
    <row r="91" spans="1:12" s="965" customFormat="1">
      <c r="A91" s="2339"/>
      <c r="D91" s="2340"/>
      <c r="K91" s="798"/>
      <c r="L91" s="798"/>
    </row>
    <row r="92" spans="1:12" s="965" customFormat="1">
      <c r="A92" s="2339"/>
      <c r="D92" s="2340"/>
      <c r="K92" s="798"/>
      <c r="L92" s="798"/>
    </row>
    <row r="93" spans="1:12" s="965" customFormat="1">
      <c r="A93" s="2339"/>
      <c r="D93" s="2340"/>
      <c r="K93" s="798"/>
      <c r="L93" s="798"/>
    </row>
    <row r="94" spans="1:12" s="965" customFormat="1">
      <c r="A94" s="2339"/>
      <c r="D94" s="2340"/>
      <c r="K94" s="798"/>
      <c r="L94" s="798"/>
    </row>
    <row r="95" spans="1:12" s="965" customFormat="1">
      <c r="A95" s="2339"/>
      <c r="D95" s="2340"/>
      <c r="K95" s="798"/>
      <c r="L95" s="798"/>
    </row>
    <row r="96" spans="1:12" s="965" customFormat="1">
      <c r="A96" s="2339"/>
      <c r="D96" s="2340"/>
      <c r="K96" s="798"/>
      <c r="L96" s="798"/>
    </row>
    <row r="97" spans="1:12" s="965" customFormat="1">
      <c r="A97" s="2339"/>
      <c r="D97" s="2340"/>
      <c r="K97" s="798"/>
      <c r="L97" s="798"/>
    </row>
    <row r="98" spans="1:12" s="965" customFormat="1">
      <c r="A98" s="2339"/>
      <c r="D98" s="2340"/>
      <c r="K98" s="798"/>
      <c r="L98" s="798"/>
    </row>
    <row r="99" spans="1:12" s="965" customFormat="1">
      <c r="A99" s="2339"/>
      <c r="D99" s="2340"/>
      <c r="K99" s="798"/>
      <c r="L99" s="798"/>
    </row>
    <row r="100" spans="1:12" s="965" customFormat="1">
      <c r="A100" s="2339"/>
      <c r="D100" s="2340"/>
      <c r="K100" s="798"/>
      <c r="L100" s="798"/>
    </row>
    <row r="101" spans="1:12" s="965" customFormat="1">
      <c r="A101" s="2339"/>
      <c r="D101" s="2340"/>
      <c r="K101" s="798"/>
      <c r="L101" s="798"/>
    </row>
    <row r="102" spans="1:12" s="965" customFormat="1">
      <c r="A102" s="2339"/>
      <c r="D102" s="2340"/>
      <c r="K102" s="798"/>
      <c r="L102" s="798"/>
    </row>
    <row r="103" spans="1:12" s="965" customFormat="1">
      <c r="A103" s="2339"/>
      <c r="D103" s="2340"/>
      <c r="K103" s="798"/>
      <c r="L103" s="798"/>
    </row>
    <row r="104" spans="1:12" s="965" customFormat="1">
      <c r="A104" s="2339"/>
      <c r="D104" s="2340"/>
      <c r="K104" s="798"/>
      <c r="L104" s="798"/>
    </row>
    <row r="105" spans="1:12" s="965" customFormat="1">
      <c r="A105" s="2339"/>
      <c r="D105" s="2340"/>
      <c r="K105" s="798"/>
      <c r="L105" s="798"/>
    </row>
    <row r="106" spans="1:12" s="965" customFormat="1">
      <c r="A106" s="2339"/>
      <c r="D106" s="2340"/>
      <c r="K106" s="798"/>
      <c r="L106" s="798"/>
    </row>
    <row r="107" spans="1:12" s="965" customFormat="1">
      <c r="A107" s="2339"/>
      <c r="D107" s="2340"/>
      <c r="K107" s="798"/>
      <c r="L107" s="798"/>
    </row>
    <row r="108" spans="1:12" s="965" customFormat="1">
      <c r="A108" s="2339"/>
      <c r="D108" s="2340"/>
      <c r="K108" s="798"/>
      <c r="L108" s="798"/>
    </row>
    <row r="109" spans="1:12" s="965" customFormat="1">
      <c r="A109" s="2339"/>
      <c r="D109" s="2340"/>
      <c r="K109" s="798"/>
      <c r="L109" s="798"/>
    </row>
    <row r="110" spans="1:12" s="965" customFormat="1">
      <c r="A110" s="2339"/>
      <c r="D110" s="2340"/>
      <c r="K110" s="798"/>
      <c r="L110" s="798"/>
    </row>
    <row r="111" spans="1:12" s="965" customFormat="1">
      <c r="A111" s="2339"/>
      <c r="D111" s="2340"/>
      <c r="K111" s="798"/>
      <c r="L111" s="798"/>
    </row>
    <row r="112" spans="1:12" s="965" customFormat="1">
      <c r="A112" s="2339"/>
      <c r="D112" s="2340"/>
      <c r="K112" s="798"/>
      <c r="L112" s="798"/>
    </row>
    <row r="113" spans="1:12" s="965" customFormat="1">
      <c r="A113" s="2339"/>
      <c r="D113" s="2340"/>
      <c r="K113" s="798"/>
      <c r="L113" s="798"/>
    </row>
    <row r="114" spans="1:12" s="965" customFormat="1">
      <c r="A114" s="2339"/>
      <c r="D114" s="2340"/>
      <c r="K114" s="798"/>
      <c r="L114" s="798"/>
    </row>
    <row r="115" spans="1:12" s="965" customFormat="1">
      <c r="A115" s="2339"/>
      <c r="D115" s="2340"/>
      <c r="K115" s="798"/>
      <c r="L115" s="798"/>
    </row>
    <row r="116" spans="1:12" s="965" customFormat="1">
      <c r="A116" s="2339"/>
      <c r="D116" s="2340"/>
      <c r="K116" s="798"/>
      <c r="L116" s="798"/>
    </row>
    <row r="117" spans="1:12" s="965" customFormat="1">
      <c r="A117" s="2339"/>
      <c r="D117" s="2340"/>
      <c r="K117" s="798"/>
      <c r="L117" s="798"/>
    </row>
    <row r="118" spans="1:12" s="965" customFormat="1">
      <c r="A118" s="2339"/>
      <c r="D118" s="2340"/>
      <c r="K118" s="798"/>
      <c r="L118" s="798"/>
    </row>
    <row r="119" spans="1:12" s="965" customFormat="1">
      <c r="A119" s="2339"/>
      <c r="D119" s="2340"/>
      <c r="K119" s="798"/>
      <c r="L119" s="798"/>
    </row>
    <row r="120" spans="1:12" s="965" customFormat="1">
      <c r="A120" s="2339"/>
      <c r="D120" s="2340"/>
      <c r="K120" s="798"/>
      <c r="L120" s="798"/>
    </row>
    <row r="121" spans="1:12" s="965" customFormat="1">
      <c r="A121" s="2339"/>
      <c r="D121" s="2340"/>
      <c r="K121" s="798"/>
      <c r="L121" s="798"/>
    </row>
    <row r="122" spans="1:12" s="965" customFormat="1">
      <c r="A122" s="2339"/>
      <c r="D122" s="2340"/>
      <c r="K122" s="798"/>
      <c r="L122" s="798"/>
    </row>
    <row r="123" spans="1:12" s="965" customFormat="1">
      <c r="A123" s="2339"/>
      <c r="D123" s="2340"/>
      <c r="K123" s="798"/>
      <c r="L123" s="798"/>
    </row>
    <row r="124" spans="1:12" s="965" customFormat="1">
      <c r="A124" s="2339"/>
      <c r="D124" s="2340"/>
      <c r="K124" s="798"/>
      <c r="L124" s="798"/>
    </row>
    <row r="125" spans="1:12" s="965" customFormat="1">
      <c r="A125" s="2339"/>
      <c r="D125" s="2340"/>
      <c r="K125" s="798"/>
      <c r="L125" s="798"/>
    </row>
    <row r="126" spans="1:12" s="965" customFormat="1">
      <c r="A126" s="2339"/>
      <c r="D126" s="2340"/>
      <c r="K126" s="798"/>
      <c r="L126" s="798"/>
    </row>
    <row r="127" spans="1:12" s="965" customFormat="1">
      <c r="A127" s="2339"/>
      <c r="D127" s="2340"/>
      <c r="K127" s="798"/>
      <c r="L127" s="798"/>
    </row>
    <row r="128" spans="1:12" s="965" customFormat="1">
      <c r="A128" s="2339"/>
      <c r="D128" s="2340"/>
      <c r="K128" s="798"/>
      <c r="L128" s="798"/>
    </row>
    <row r="129" spans="1:12" s="965" customFormat="1">
      <c r="A129" s="2339"/>
      <c r="D129" s="2340"/>
      <c r="K129" s="798"/>
      <c r="L129" s="798"/>
    </row>
    <row r="130" spans="1:12" s="965" customFormat="1">
      <c r="A130" s="2339"/>
      <c r="D130" s="2340"/>
      <c r="K130" s="798"/>
      <c r="L130" s="798"/>
    </row>
    <row r="131" spans="1:12" s="965" customFormat="1">
      <c r="A131" s="2339"/>
      <c r="D131" s="2340"/>
      <c r="K131" s="798"/>
      <c r="L131" s="798"/>
    </row>
    <row r="132" spans="1:12" s="965" customFormat="1">
      <c r="A132" s="2339"/>
      <c r="D132" s="2340"/>
      <c r="K132" s="798"/>
      <c r="L132" s="798"/>
    </row>
    <row r="133" spans="1:12" s="965"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53" t="s">
        <v>2081</v>
      </c>
      <c r="B1" s="3054"/>
      <c r="C1" s="3054"/>
      <c r="D1" s="3054"/>
      <c r="E1" s="3054"/>
      <c r="F1" s="3054"/>
      <c r="G1" s="305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hidden="1">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0.5">
      <c r="A4" s="431"/>
      <c r="B4" s="1796" t="s">
        <v>2089</v>
      </c>
      <c r="C4" s="3569" t="s">
        <v>3308</v>
      </c>
      <c r="D4" s="2369"/>
      <c r="E4" s="2372"/>
      <c r="F4" s="42" t="s">
        <v>2090</v>
      </c>
      <c r="G4" s="2373" t="s">
        <v>2091</v>
      </c>
      <c r="H4" s="2366"/>
      <c r="I4" s="2366"/>
      <c r="J4" s="2366"/>
      <c r="K4" s="2366"/>
      <c r="L4" s="2366"/>
      <c r="M4" s="2366"/>
      <c r="N4" s="2366"/>
      <c r="O4" s="2366"/>
      <c r="P4" s="2366"/>
      <c r="Q4" s="2366"/>
      <c r="R4" s="2366"/>
    </row>
    <row r="5" spans="1:29" ht="40.5">
      <c r="A5" s="431"/>
      <c r="B5" s="1796" t="s">
        <v>2092</v>
      </c>
      <c r="C5" s="3569" t="s">
        <v>3309</v>
      </c>
      <c r="D5" s="2369"/>
      <c r="E5" s="2372"/>
      <c r="F5" s="1796" t="s">
        <v>2093</v>
      </c>
      <c r="G5" s="2373" t="s">
        <v>2094</v>
      </c>
      <c r="H5" s="2366"/>
      <c r="I5" s="2366"/>
      <c r="J5" s="2366"/>
      <c r="K5" s="2366"/>
      <c r="L5" s="2366"/>
      <c r="M5" s="2366"/>
      <c r="N5" s="2366"/>
      <c r="O5" s="2366"/>
      <c r="P5" s="2366"/>
      <c r="Q5" s="2366"/>
      <c r="R5" s="2366"/>
    </row>
    <row r="6" spans="1:29" ht="94.5">
      <c r="A6" s="431"/>
      <c r="B6" s="1796" t="s">
        <v>2095</v>
      </c>
      <c r="C6" s="3570" t="s">
        <v>3310</v>
      </c>
      <c r="D6" s="2369"/>
      <c r="E6" s="2372"/>
      <c r="F6" s="1796" t="s">
        <v>2096</v>
      </c>
      <c r="G6" s="2373" t="s">
        <v>2097</v>
      </c>
      <c r="H6" s="2366"/>
      <c r="I6" s="2366"/>
      <c r="J6" s="2366"/>
      <c r="K6" s="2366"/>
      <c r="L6" s="2366"/>
      <c r="M6" s="2366"/>
      <c r="N6" s="2366"/>
      <c r="O6" s="2366"/>
      <c r="P6" s="2366"/>
      <c r="Q6" s="2366"/>
      <c r="R6" s="2366"/>
    </row>
    <row r="7" spans="1:29" ht="41.25" thickBot="1">
      <c r="A7" s="431"/>
      <c r="B7" s="1796" t="s">
        <v>2093</v>
      </c>
      <c r="C7" s="3570" t="s">
        <v>3311</v>
      </c>
      <c r="D7" s="2374"/>
      <c r="E7" s="2375"/>
      <c r="F7" s="2376" t="s">
        <v>2098</v>
      </c>
      <c r="G7" s="2377" t="s">
        <v>2099</v>
      </c>
      <c r="H7" s="2366"/>
      <c r="I7" s="2366"/>
      <c r="J7" s="2366"/>
      <c r="K7" s="2366"/>
      <c r="L7" s="2366"/>
      <c r="M7" s="2366"/>
      <c r="N7" s="2366"/>
      <c r="O7" s="2366"/>
      <c r="P7" s="2366"/>
      <c r="Q7" s="2366"/>
      <c r="R7" s="2366"/>
    </row>
    <row r="8" spans="1:29" ht="27">
      <c r="A8" s="431"/>
      <c r="B8" s="1796" t="s">
        <v>2096</v>
      </c>
      <c r="C8" s="3570" t="s">
        <v>3312</v>
      </c>
      <c r="D8" s="2374"/>
      <c r="E8" s="2374"/>
      <c r="F8" s="1134"/>
      <c r="G8" s="1134"/>
      <c r="H8" s="2366"/>
      <c r="I8" s="2366"/>
      <c r="J8" s="2366"/>
      <c r="K8" s="2366"/>
      <c r="L8" s="2366"/>
      <c r="M8" s="2366"/>
      <c r="N8" s="2366"/>
      <c r="O8" s="2366"/>
      <c r="P8" s="2366"/>
      <c r="Q8" s="2366"/>
      <c r="R8" s="2366"/>
    </row>
    <row r="9" spans="1:29" ht="40.5">
      <c r="A9" s="431"/>
      <c r="B9" s="1796" t="s">
        <v>2100</v>
      </c>
      <c r="C9" s="3569" t="s">
        <v>3313</v>
      </c>
      <c r="D9" s="2369"/>
      <c r="E9" s="2374"/>
      <c r="F9" s="1134"/>
      <c r="G9" s="1134"/>
      <c r="H9" s="2366"/>
      <c r="I9" s="2366"/>
      <c r="J9" s="2366"/>
      <c r="K9" s="2366"/>
      <c r="L9" s="2366"/>
      <c r="M9" s="2366"/>
      <c r="N9" s="2366"/>
      <c r="O9" s="2366"/>
      <c r="P9" s="2366"/>
      <c r="Q9" s="2366"/>
      <c r="R9" s="2366"/>
    </row>
    <row r="10" spans="1:29" s="117" customFormat="1" ht="15.75" thickBot="1">
      <c r="A10" s="2378"/>
      <c r="B10" s="2379" t="s">
        <v>2101</v>
      </c>
      <c r="C10" s="2380"/>
      <c r="D10" s="2369"/>
      <c r="E10" s="2369"/>
      <c r="F10" s="1134"/>
      <c r="G10" s="1134"/>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9"/>
      <c r="D11" s="2369"/>
      <c r="E11" s="2369"/>
      <c r="F11" s="2374"/>
      <c r="G11" s="1152"/>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9"/>
      <c r="D12" s="2385"/>
      <c r="E12" s="2369"/>
      <c r="F12" s="2374"/>
      <c r="G12" s="1152"/>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2102</v>
      </c>
      <c r="B13" s="2385"/>
      <c r="C13" s="2385"/>
      <c r="D13" s="2392"/>
      <c r="E13" s="2385"/>
      <c r="F13" s="2385"/>
      <c r="G13" s="2385"/>
    </row>
    <row r="14" spans="1:29" ht="15.75" thickBot="1">
      <c r="A14" s="2396"/>
      <c r="B14" s="2397"/>
      <c r="C14" s="2398" t="s">
        <v>2103</v>
      </c>
      <c r="D14" s="2369"/>
      <c r="E14" s="2399"/>
      <c r="F14" s="2399"/>
      <c r="G14" s="2363" t="s">
        <v>2104</v>
      </c>
    </row>
    <row r="15" spans="1:29" ht="57">
      <c r="A15" s="68" t="s">
        <v>2105</v>
      </c>
      <c r="B15" s="1268" t="s">
        <v>2085</v>
      </c>
      <c r="C15" s="2400" t="str">
        <f>C3</f>
        <v>估价对象周边居住用地比例、居住小区规模和社区发展完善程度，综合评价居住社区成熟度一般</v>
      </c>
      <c r="D15" s="2369"/>
      <c r="E15" s="2401" t="s">
        <v>2106</v>
      </c>
      <c r="F15" s="1268" t="s">
        <v>2107</v>
      </c>
      <c r="G15" s="135" t="str">
        <f>G3</f>
        <v>估价对象位于XX开发区，园区建设成熟度XX，产业集聚程度XX</v>
      </c>
    </row>
    <row r="16" spans="1:29" ht="42.75">
      <c r="A16" s="645"/>
      <c r="B16" s="2402" t="s">
        <v>2089</v>
      </c>
      <c r="C16" s="2403" t="str">
        <f>C4</f>
        <v>估价对象位于东直门商圈，周边商业氛围成熟，人流量大，商业繁华度好</v>
      </c>
      <c r="D16" s="2369"/>
      <c r="E16" s="2404"/>
      <c r="F16" s="2405" t="s">
        <v>2090</v>
      </c>
      <c r="G16" s="136" t="str">
        <f>G4</f>
        <v>估价对象周边道路状况、公共交通通达情况、停车便捷程度，综合评价交通便捷度较好</v>
      </c>
    </row>
    <row r="17" spans="1:18" ht="42.75">
      <c r="A17" s="645"/>
      <c r="B17" s="2402" t="s">
        <v>2092</v>
      </c>
      <c r="C17" s="2403" t="str">
        <f>C5</f>
        <v>估价对象位于东直门商圈，周边办公楼项目较多，入驻率高，办公集聚程度较好</v>
      </c>
      <c r="D17" s="2374"/>
      <c r="E17" s="2404"/>
      <c r="F17" s="2405" t="s">
        <v>2108</v>
      </c>
      <c r="G17" s="1570"/>
    </row>
    <row r="18" spans="1:18" ht="57">
      <c r="A18" s="645"/>
      <c r="B18" s="2405" t="s">
        <v>2095</v>
      </c>
      <c r="C18" s="136" t="str">
        <f>C6</f>
        <v>估价对象周边道路状况较好（机场高速、香河园路）、公共交通较通达（2、机场线东直门站，18路、916路香河园路，359、915路东直门外站）、停车便捷程度，综合评价交通便捷度较好</v>
      </c>
      <c r="D18" s="2374"/>
      <c r="E18" s="2404"/>
      <c r="F18" s="2405" t="s">
        <v>2098</v>
      </c>
      <c r="G18" s="136" t="str">
        <f>G7</f>
        <v>该园区内是否有污染型企业，绿化情况，卫生条件，整体环境状况判断</v>
      </c>
    </row>
    <row r="19" spans="1:18" ht="28.5">
      <c r="A19" s="645"/>
      <c r="B19" s="2405" t="s">
        <v>2109</v>
      </c>
      <c r="C19" s="3571" t="s">
        <v>3315</v>
      </c>
      <c r="D19" s="2369"/>
      <c r="E19" s="2404"/>
      <c r="F19" s="1796" t="s">
        <v>2093</v>
      </c>
      <c r="G19" s="136" t="str">
        <f>G5</f>
        <v>估价对象所在区域公共配套设施齐备情况</v>
      </c>
    </row>
    <row r="20" spans="1:18" ht="28.5">
      <c r="A20" s="645"/>
      <c r="B20" s="2405" t="s">
        <v>2110</v>
      </c>
      <c r="C20" s="2403" t="str">
        <f>C9</f>
        <v>区域自然环境：廉政文化公园；人文环境：自来水博物馆；综合评价环境状况较好</v>
      </c>
      <c r="D20" s="2374"/>
      <c r="E20" s="2404"/>
      <c r="F20" s="1796" t="s">
        <v>2111</v>
      </c>
      <c r="G20" s="136" t="str">
        <f>G6</f>
        <v>估价对象所在区域基础设施水平</v>
      </c>
    </row>
    <row r="21" spans="1:18" ht="28.5">
      <c r="A21" s="645"/>
      <c r="B21" s="1796" t="s">
        <v>2093</v>
      </c>
      <c r="C21" s="136" t="str">
        <f>C7</f>
        <v>估价对象所在区域公共配套设施齐备</v>
      </c>
      <c r="D21" s="2369"/>
      <c r="E21" s="2404"/>
      <c r="F21" s="2405" t="s">
        <v>2112</v>
      </c>
      <c r="G21" s="2406"/>
    </row>
    <row r="22" spans="1:18" ht="13.5" customHeight="1">
      <c r="A22" s="645"/>
      <c r="B22" s="1796" t="s">
        <v>2096</v>
      </c>
      <c r="C22" s="136" t="str">
        <f>C8</f>
        <v>估价对象所在区域基础设施水平较高</v>
      </c>
      <c r="D22" s="2369"/>
      <c r="E22" s="2404"/>
      <c r="F22" s="2405" t="s">
        <v>2101</v>
      </c>
      <c r="G22" s="1570"/>
    </row>
    <row r="23" spans="1:18" s="2366" customFormat="1" ht="15.75" thickBot="1">
      <c r="A23" s="645"/>
      <c r="B23" s="2405" t="s">
        <v>2112</v>
      </c>
      <c r="C23" s="2406" t="s">
        <v>3314</v>
      </c>
      <c r="D23" s="2393"/>
      <c r="E23" s="2407"/>
      <c r="F23" s="2408" t="s">
        <v>2113</v>
      </c>
      <c r="G23" s="2409"/>
      <c r="H23" s="2393"/>
      <c r="I23" s="2394"/>
      <c r="J23" s="2393"/>
      <c r="K23" s="2393"/>
      <c r="L23" s="2394"/>
      <c r="M23" s="2393"/>
      <c r="N23" s="2393"/>
      <c r="O23" s="2394"/>
      <c r="P23" s="2393"/>
      <c r="Q23" s="2393"/>
      <c r="R23" s="2395"/>
    </row>
    <row r="24" spans="1:18" s="2366"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50120.32</v>
      </c>
      <c r="C1" s="1743"/>
      <c r="D1" s="1743"/>
      <c r="E1" s="1743"/>
      <c r="F1" s="1743"/>
      <c r="G1" s="1741"/>
    </row>
    <row r="2" spans="1:10" ht="16.5">
      <c r="A2" s="1744" t="s">
        <v>1353</v>
      </c>
      <c r="B2" s="1744">
        <f>SUM(C14:C23)</f>
        <v>5235.2</v>
      </c>
      <c r="C2" s="1743"/>
      <c r="D2" s="1743"/>
      <c r="E2" s="1743"/>
      <c r="F2" s="1743"/>
      <c r="G2" s="1741"/>
    </row>
    <row r="3" spans="1:10" ht="16.5">
      <c r="A3" s="1744" t="s">
        <v>1362</v>
      </c>
      <c r="B3" s="1745">
        <f>项目基本情况!D3</f>
        <v>43458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184902</v>
      </c>
      <c r="C5" s="1744">
        <f ca="1">ROUND(B5*10000/$B$1,0)</f>
        <v>36892</v>
      </c>
      <c r="D5" s="1744">
        <f ca="1">ROUND(B5*10000/$B$2,0)</f>
        <v>353190</v>
      </c>
      <c r="E5" s="1743"/>
      <c r="F5" s="1741"/>
      <c r="G5" s="1741"/>
    </row>
    <row r="6" spans="1:10" ht="16.5">
      <c r="A6" s="1744" t="s">
        <v>1356</v>
      </c>
      <c r="B6" s="1744">
        <f ca="1">SUM(G14:G23)</f>
        <v>184902</v>
      </c>
      <c r="C6" s="1744">
        <f ca="1">ROUND(B6*10000/$B$1,0)</f>
        <v>36892</v>
      </c>
      <c r="D6" s="1744">
        <f ca="1">ROUND(B6*10000/$B$2,0)</f>
        <v>353190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50120.32</v>
      </c>
      <c r="C14" s="1742">
        <f>结果表!C118</f>
        <v>5235.2</v>
      </c>
      <c r="D14" s="1742">
        <f ca="1">结果表!H118</f>
        <v>184902</v>
      </c>
      <c r="E14" s="1742">
        <f ca="1">ROUND(D14*10000/B14,0)</f>
        <v>36892</v>
      </c>
      <c r="F14" s="1742">
        <f ca="1">ROUND(D14*10000/C14,0)</f>
        <v>353190</v>
      </c>
      <c r="G14" s="1742">
        <f ca="1">结果表!D122</f>
        <v>184902</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3" t="str">
        <f>项目基本情况!B1</f>
        <v>北京市东城区香河园街1号11号楼房地产抵押价值预评估</v>
      </c>
      <c r="C37" s="2963"/>
      <c r="D37" s="2963"/>
      <c r="E37" s="2963"/>
      <c r="F37" s="2963"/>
      <c r="G37" s="2963"/>
      <c r="H37" s="2963"/>
      <c r="I37" s="2963"/>
    </row>
    <row r="38" spans="1:9">
      <c r="A38" s="1017"/>
      <c r="B38" s="1017"/>
    </row>
    <row r="39" spans="1:9">
      <c r="A39" s="1015" t="s">
        <v>818</v>
      </c>
      <c r="B39" s="1015" t="s">
        <v>820</v>
      </c>
    </row>
    <row r="40" spans="1:9">
      <c r="A40" s="1015"/>
      <c r="B40" s="1943" t="str">
        <f>项目基本情况!B5</f>
        <v>北京万国城酒店运营管理有限公司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康正预评字2018-1-0895-P01DYGJ1号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c r="D1" s="2416"/>
      <c r="E1" s="2416"/>
      <c r="F1" s="2418" t="s">
        <v>2116</v>
      </c>
      <c r="G1" s="2069" t="s">
        <v>3307</v>
      </c>
      <c r="H1" s="2419" t="str">
        <f>IF(G1="现房","——","估价对象范围")</f>
        <v>——</v>
      </c>
      <c r="I1" s="2420"/>
    </row>
    <row r="2" spans="1:12" ht="21.75" customHeight="1" thickBot="1">
      <c r="A2" s="3127" t="str">
        <f>项目基本情况!S2</f>
        <v>北京市东城区香河园街1号11号楼房地产</v>
      </c>
      <c r="B2" s="3128"/>
      <c r="C2" s="3128"/>
      <c r="D2" s="3128"/>
      <c r="E2" s="3128"/>
      <c r="F2" s="3128"/>
      <c r="G2" s="3128"/>
      <c r="H2" s="3128"/>
      <c r="I2" s="3129"/>
    </row>
    <row r="3" spans="1:12" ht="12.75">
      <c r="A3" s="3130" t="s">
        <v>2117</v>
      </c>
      <c r="B3" s="3131"/>
      <c r="C3" s="3131"/>
      <c r="D3" s="3131"/>
      <c r="E3" s="3131"/>
      <c r="F3" s="3131"/>
      <c r="G3" s="3131"/>
      <c r="H3" s="3131"/>
      <c r="I3" s="3131"/>
    </row>
    <row r="4" spans="1:12" ht="14.25">
      <c r="A4" s="2423" t="s">
        <v>2118</v>
      </c>
      <c r="B4" s="2424" t="s">
        <v>2119</v>
      </c>
      <c r="C4" s="2425" t="s">
        <v>3304</v>
      </c>
      <c r="D4" s="2425" t="s">
        <v>3305</v>
      </c>
      <c r="E4" s="3111" t="s">
        <v>2120</v>
      </c>
      <c r="F4" s="3124"/>
      <c r="G4" s="3124"/>
      <c r="H4" s="3124"/>
      <c r="I4" s="311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2121</v>
      </c>
      <c r="B5" s="3028">
        <v>25</v>
      </c>
      <c r="C5" s="3132"/>
      <c r="D5" s="3120"/>
      <c r="E5" s="140" t="s">
        <v>2122</v>
      </c>
      <c r="F5" s="2427"/>
      <c r="G5" s="2427"/>
      <c r="H5" s="2427"/>
      <c r="I5" s="1832"/>
    </row>
    <row r="6" spans="1:12" ht="12.75">
      <c r="A6" s="3102"/>
      <c r="B6" s="3028"/>
      <c r="C6" s="3134"/>
      <c r="D6" s="3120"/>
      <c r="E6" s="140" t="s">
        <v>2123</v>
      </c>
      <c r="F6" s="2427"/>
      <c r="G6" s="2427"/>
      <c r="H6" s="2427"/>
      <c r="I6" s="1832"/>
    </row>
    <row r="7" spans="1:12" ht="12.75">
      <c r="A7" s="3102"/>
      <c r="B7" s="3028"/>
      <c r="C7" s="3133"/>
      <c r="D7" s="3120"/>
      <c r="E7" s="140" t="s">
        <v>2124</v>
      </c>
      <c r="F7" s="2427"/>
      <c r="G7" s="2427"/>
      <c r="H7" s="2427"/>
      <c r="I7" s="1832"/>
    </row>
    <row r="8" spans="1:12" ht="12.75">
      <c r="A8" s="3102" t="s">
        <v>2125</v>
      </c>
      <c r="B8" s="3028">
        <v>15</v>
      </c>
      <c r="C8" s="3132"/>
      <c r="D8" s="3120"/>
      <c r="E8" s="140" t="s">
        <v>2126</v>
      </c>
      <c r="F8" s="2427"/>
      <c r="G8" s="2427"/>
      <c r="H8" s="2427"/>
      <c r="I8" s="1832"/>
    </row>
    <row r="9" spans="1:12" ht="12.75">
      <c r="A9" s="3102"/>
      <c r="B9" s="3028"/>
      <c r="C9" s="3133"/>
      <c r="D9" s="3120"/>
      <c r="E9" s="140" t="s">
        <v>2127</v>
      </c>
      <c r="F9" s="2427"/>
      <c r="G9" s="2427"/>
      <c r="H9" s="2427"/>
      <c r="I9" s="1832"/>
    </row>
    <row r="10" spans="1:12" ht="12.75">
      <c r="A10" s="3102" t="s">
        <v>2128</v>
      </c>
      <c r="B10" s="3028">
        <v>15</v>
      </c>
      <c r="C10" s="3132"/>
      <c r="D10" s="3120"/>
      <c r="E10" s="140" t="s">
        <v>2129</v>
      </c>
      <c r="F10" s="2427"/>
      <c r="G10" s="2427"/>
      <c r="H10" s="2427"/>
      <c r="I10" s="1832"/>
    </row>
    <row r="11" spans="1:12" ht="12.75">
      <c r="A11" s="3102"/>
      <c r="B11" s="3028"/>
      <c r="C11" s="3133"/>
      <c r="D11" s="3120"/>
      <c r="E11" s="140" t="s">
        <v>2130</v>
      </c>
      <c r="F11" s="2427"/>
      <c r="G11" s="2427"/>
      <c r="H11" s="2427"/>
      <c r="I11" s="1832"/>
    </row>
    <row r="12" spans="1:12" ht="12.75">
      <c r="A12" s="3102" t="s">
        <v>2131</v>
      </c>
      <c r="B12" s="3028">
        <v>15</v>
      </c>
      <c r="C12" s="3132"/>
      <c r="D12" s="3120"/>
      <c r="E12" s="140" t="s">
        <v>2132</v>
      </c>
      <c r="F12" s="2427"/>
      <c r="G12" s="2427"/>
      <c r="H12" s="2427"/>
      <c r="I12" s="1832"/>
    </row>
    <row r="13" spans="1:12" ht="12.75">
      <c r="A13" s="3102"/>
      <c r="B13" s="3028"/>
      <c r="C13" s="3133"/>
      <c r="D13" s="3120"/>
      <c r="E13" s="140" t="s">
        <v>2133</v>
      </c>
      <c r="F13" s="2427"/>
      <c r="G13" s="2427"/>
      <c r="H13" s="2427"/>
      <c r="I13" s="1832"/>
    </row>
    <row r="14" spans="1:12" ht="12.75">
      <c r="A14" s="3102" t="s">
        <v>2134</v>
      </c>
      <c r="B14" s="3028">
        <v>30</v>
      </c>
      <c r="C14" s="3132">
        <v>5</v>
      </c>
      <c r="D14" s="3120">
        <v>5</v>
      </c>
      <c r="E14" s="140" t="s">
        <v>2135</v>
      </c>
      <c r="F14" s="2427"/>
      <c r="G14" s="2427"/>
      <c r="H14" s="2427"/>
      <c r="I14" s="1832"/>
    </row>
    <row r="15" spans="1:12" ht="12.75">
      <c r="A15" s="3102"/>
      <c r="B15" s="3028"/>
      <c r="C15" s="3134"/>
      <c r="D15" s="3120"/>
      <c r="E15" s="140" t="s">
        <v>2136</v>
      </c>
      <c r="F15" s="2427"/>
      <c r="G15" s="2427"/>
      <c r="H15" s="2427"/>
      <c r="I15" s="1832"/>
    </row>
    <row r="16" spans="1:12" ht="12.75">
      <c r="A16" s="3102"/>
      <c r="B16" s="3028"/>
      <c r="C16" s="3133"/>
      <c r="D16" s="3120"/>
      <c r="E16" s="140" t="s">
        <v>2137</v>
      </c>
      <c r="F16" s="2427"/>
      <c r="G16" s="2427"/>
      <c r="H16" s="2427"/>
      <c r="I16" s="1832"/>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50120.32</v>
      </c>
      <c r="M18" s="2426">
        <f>IF(C1="",'数据-汇总表'!E3,SUMIF(项目类型,C1,'数据-汇总表'!E17:E26))</f>
        <v>50120.32</v>
      </c>
    </row>
    <row r="19" spans="1:35" ht="15">
      <c r="A19" s="2432" t="s">
        <v>2143</v>
      </c>
      <c r="B19" s="2433" t="s">
        <v>2144</v>
      </c>
      <c r="C19" s="143">
        <f ca="1">SUMIF(INDIRECT("'"&amp;C4&amp;"'"&amp;"!A:A"),结果表!B19,INDIRECT("'"&amp;C4&amp;"'"&amp;"!B:B"))</f>
        <v>194663</v>
      </c>
      <c r="D19" s="144">
        <f ca="1">SUMIF(INDIRECT("'"&amp;D4&amp;"'"&amp;"!A:A"),结果表!B19,INDIRECT("'"&amp;D4&amp;"'"&amp;"!B:B"))</f>
        <v>175140</v>
      </c>
      <c r="E19" s="2432" t="s">
        <v>2145</v>
      </c>
      <c r="F19" s="2433" t="s">
        <v>2144</v>
      </c>
      <c r="G19" s="145">
        <f ca="1">ROUND(C19*$C$18+D19*$D$18,0)</f>
        <v>184902</v>
      </c>
      <c r="H19" s="2434" t="s">
        <v>2146</v>
      </c>
      <c r="I19" s="138"/>
      <c r="K19" s="2426" t="s">
        <v>2147</v>
      </c>
      <c r="L19" s="2426">
        <f>IF(C1="",'数据-汇总表'!D3,SUMIF(项目类型,C1,'数据-汇总表'!D17:D26)+SUMIF(项目类型,C1,'数据-汇总表'!H17:H27))</f>
        <v>5235.2</v>
      </c>
      <c r="M19" s="2426">
        <f>IF(C1="",'数据-汇总表'!D3,SUMIF(项目类型,C1,'数据-汇总表'!D17:D26))</f>
        <v>5235.2</v>
      </c>
    </row>
    <row r="20" spans="1:35" ht="15">
      <c r="A20" s="2435"/>
      <c r="B20" s="1248" t="s">
        <v>2148</v>
      </c>
      <c r="C20" s="146">
        <f ca="1">SUMIF(INDIRECT("'"&amp;C4&amp;"'"&amp;"!A:A"),结果表!B20,INDIRECT("'"&amp;C4&amp;"'"&amp;"!B:B"))</f>
        <v>38839</v>
      </c>
      <c r="D20" s="147">
        <f ca="1">SUMIF(INDIRECT("'"&amp;D4&amp;"'"&amp;"!A:A"),结果表!B20,INDIRECT("'"&amp;D4&amp;"'"&amp;"!B:B"))</f>
        <v>35419</v>
      </c>
      <c r="E20" s="2435"/>
      <c r="F20" s="1248" t="s">
        <v>2148</v>
      </c>
      <c r="G20" s="148">
        <f ca="1">ROUND(C20*$C$18+D20*$D$18,0)</f>
        <v>37129</v>
      </c>
      <c r="H20" s="981" t="s">
        <v>2149</v>
      </c>
      <c r="I20" s="138"/>
    </row>
    <row r="21" spans="1:35" ht="15" customHeight="1" thickBot="1">
      <c r="A21" s="1001"/>
      <c r="B21" s="2436" t="s">
        <v>2150</v>
      </c>
      <c r="C21" s="789">
        <f ca="1">ROUND(C19*10000/L19,0)</f>
        <v>371835</v>
      </c>
      <c r="D21" s="790">
        <f ca="1">ROUND(D19*10000/L19,0)</f>
        <v>334543</v>
      </c>
      <c r="E21" s="1001"/>
      <c r="F21" s="2436" t="s">
        <v>2150</v>
      </c>
      <c r="G21" s="149">
        <f ca="1">ROUND(G19*10000/L19,0)</f>
        <v>353190</v>
      </c>
      <c r="H21" s="2437" t="s">
        <v>2149</v>
      </c>
      <c r="I21" s="138"/>
    </row>
    <row r="22" spans="1:35" ht="15" thickBot="1">
      <c r="A22" s="2279" t="s">
        <v>2151</v>
      </c>
      <c r="B22" s="2438"/>
      <c r="C22" s="2439"/>
      <c r="D22" s="791">
        <f ca="1">IF(C19&lt;D19,D19/C19-1,C19/D19-1)</f>
        <v>0.11147082334132685</v>
      </c>
      <c r="E22" s="138"/>
      <c r="F22" s="138"/>
      <c r="G22" s="138"/>
      <c r="H22" s="138"/>
      <c r="I22" s="138"/>
    </row>
    <row r="23" spans="1:35" ht="13.5" thickBot="1">
      <c r="A23" s="2416"/>
      <c r="B23" s="2416"/>
      <c r="C23" s="2416"/>
      <c r="D23" s="2416"/>
      <c r="E23" s="138"/>
      <c r="F23" s="138"/>
      <c r="G23" s="138"/>
      <c r="H23" s="138"/>
      <c r="I23" s="138"/>
    </row>
    <row r="24" spans="1:35" ht="14.25">
      <c r="A24" s="3141" t="s">
        <v>2152</v>
      </c>
      <c r="B24" s="2433" t="s">
        <v>2144</v>
      </c>
      <c r="C24" s="145">
        <f>IF(B30=0,0,D30)</f>
        <v>0</v>
      </c>
      <c r="D24" s="2440"/>
      <c r="E24" s="138"/>
      <c r="F24" s="138"/>
      <c r="G24" s="138"/>
      <c r="H24" s="138"/>
      <c r="I24" s="138"/>
    </row>
    <row r="25" spans="1:35" ht="14.25">
      <c r="A25" s="3142"/>
      <c r="B25" s="1248"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184902</v>
      </c>
      <c r="D32" s="2447" t="s">
        <v>2159</v>
      </c>
      <c r="E32" s="138"/>
      <c r="F32" s="138"/>
      <c r="G32" s="138"/>
      <c r="H32" s="138"/>
      <c r="I32" s="138"/>
    </row>
    <row r="33" spans="1:15" ht="15">
      <c r="A33" s="958" t="s">
        <v>2160</v>
      </c>
      <c r="B33" s="2448"/>
      <c r="C33" s="2449" t="s">
        <v>3306</v>
      </c>
      <c r="D33" s="2450" t="s">
        <v>3304</v>
      </c>
      <c r="E33" s="2451" t="s">
        <v>2161</v>
      </c>
      <c r="F33" s="2452" t="str">
        <f>IF(D32="楼面单价","取值（单价）","取值（总价）")</f>
        <v>取值（总价）</v>
      </c>
      <c r="G33" s="138"/>
      <c r="H33" s="138"/>
      <c r="I33" s="138"/>
    </row>
    <row r="34" spans="1:15" ht="15">
      <c r="A34" s="2453"/>
      <c r="B34" s="2454" t="s">
        <v>2162</v>
      </c>
      <c r="C34" s="157">
        <f ca="1">IF(C33="自定义",F34,C32-C35)</f>
        <v>154763</v>
      </c>
      <c r="D34" s="1056">
        <f ca="1">IF(C33="自定义",ROUND(C34/C32,3),IF(C33="收益比率",SUMIF(INDIRECT("'"&amp;D33&amp;"'"&amp;"!b:b"),"土地收益比率",INDIRECT("'"&amp;D33&amp;"'"&amp;"!c:c")),SUMIF(INDIRECT("'"&amp;D33&amp;"'"&amp;"!b:b"),"土地成本比率",INDIRECT("'"&amp;D33&amp;"'"&amp;"!c:c"))))</f>
        <v>0.83699999999999997</v>
      </c>
      <c r="E34" s="2455" t="s">
        <v>2163</v>
      </c>
      <c r="F34" s="1737"/>
      <c r="G34" s="138"/>
      <c r="H34" s="138"/>
      <c r="I34" s="138"/>
    </row>
    <row r="35" spans="1:15" ht="15.75" thickBot="1">
      <c r="A35" s="2456"/>
      <c r="B35" s="2457" t="s">
        <v>2164</v>
      </c>
      <c r="C35" s="1442">
        <f ca="1">IF(C33="自定义",F35,ROUND(C32*D35,0))</f>
        <v>30139</v>
      </c>
      <c r="D35" s="1443">
        <f ca="1">IF(C33="自定义",ROUND(C35/C32,3),IF(C33="收益比率",SUMIF(INDIRECT("'"&amp;D33&amp;"'"&amp;"!b:b"),"建筑物收益比率",INDIRECT("'"&amp;D33&amp;"'"&amp;"!c:c")),SUMIF(INDIRECT("'"&amp;D33&amp;"'"&amp;"!b:b"),"建筑物成本比率",INDIRECT("'"&amp;D33&amp;"'"&amp;"!c:c"))))</f>
        <v>0.16300000000000001</v>
      </c>
      <c r="E35" s="2458" t="s">
        <v>2165</v>
      </c>
      <c r="F35" s="163"/>
      <c r="G35" s="138"/>
      <c r="H35" s="138"/>
      <c r="I35" s="138"/>
    </row>
    <row r="36" spans="1:15" ht="15.75" thickBot="1">
      <c r="A36" s="3121" t="s">
        <v>2166</v>
      </c>
      <c r="B36" s="2459" t="s">
        <v>2167</v>
      </c>
      <c r="C36" s="154"/>
      <c r="D36" s="2460"/>
      <c r="E36" s="2461"/>
      <c r="F36" s="2462"/>
      <c r="G36" s="138"/>
      <c r="H36" s="138"/>
      <c r="I36" s="138"/>
    </row>
    <row r="37" spans="1:15" ht="15.75" thickBot="1">
      <c r="A37" s="3122"/>
      <c r="B37" s="2265" t="s">
        <v>2168</v>
      </c>
      <c r="C37" s="156"/>
      <c r="D37" s="1393"/>
      <c r="E37" s="1393"/>
      <c r="F37" s="2462"/>
      <c r="G37" s="138"/>
      <c r="H37" s="138"/>
      <c r="I37" s="138"/>
    </row>
    <row r="38" spans="1:15" ht="15.75" thickBot="1">
      <c r="A38" s="3123"/>
      <c r="B38" s="2463" t="s">
        <v>2169</v>
      </c>
      <c r="C38" s="727"/>
      <c r="D38" s="2464" t="s">
        <v>2170</v>
      </c>
      <c r="E38" s="1393"/>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8" t="s">
        <v>2180</v>
      </c>
      <c r="B45" s="3139"/>
      <c r="C45" s="3140"/>
      <c r="D45" s="164">
        <f ca="1">ROUND(H101*F45,0)</f>
        <v>184902</v>
      </c>
      <c r="E45" s="165" t="s">
        <v>2181</v>
      </c>
      <c r="F45" s="166">
        <v>1</v>
      </c>
      <c r="G45" s="167" t="s">
        <v>2182</v>
      </c>
      <c r="H45" s="138"/>
      <c r="I45" s="138"/>
      <c r="J45" s="3057" t="s">
        <v>2183</v>
      </c>
      <c r="K45" s="3057"/>
      <c r="L45" s="3057"/>
      <c r="M45" s="3057"/>
      <c r="N45" s="3057"/>
      <c r="O45" s="3057"/>
    </row>
    <row r="46" spans="1:15" ht="14.25" customHeight="1">
      <c r="A46" s="3135" t="s">
        <v>2184</v>
      </c>
      <c r="B46" s="3136"/>
      <c r="C46" s="3136"/>
      <c r="D46" s="3136"/>
      <c r="E46" s="3136"/>
      <c r="F46" s="3136"/>
      <c r="G46" s="3137"/>
      <c r="H46" s="2478"/>
      <c r="I46" s="168"/>
      <c r="J46" s="1810">
        <v>1</v>
      </c>
      <c r="K46" s="3057" t="s">
        <v>2185</v>
      </c>
      <c r="L46" s="3057"/>
      <c r="M46" s="3058"/>
      <c r="N46" s="3058"/>
      <c r="O46" s="3058"/>
    </row>
    <row r="47" spans="1:15" ht="12" customHeight="1">
      <c r="A47" s="169" t="s">
        <v>2186</v>
      </c>
      <c r="B47" s="170"/>
      <c r="C47" s="171"/>
      <c r="D47" s="172" t="s">
        <v>2187</v>
      </c>
      <c r="E47" s="24" t="s">
        <v>2188</v>
      </c>
      <c r="F47" s="173" t="s">
        <v>2189</v>
      </c>
      <c r="G47" s="174" t="s">
        <v>2190</v>
      </c>
      <c r="H47" s="2478"/>
      <c r="I47" s="168"/>
      <c r="J47" s="1810">
        <v>2</v>
      </c>
      <c r="K47" s="3057" t="s">
        <v>2191</v>
      </c>
      <c r="L47" s="3057"/>
      <c r="M47" s="3059">
        <f>'数据-取费表'!B2</f>
        <v>43458</v>
      </c>
      <c r="N47" s="3059"/>
      <c r="O47" s="3059"/>
    </row>
    <row r="48" spans="1:15" ht="25.5">
      <c r="A48" s="3125" t="s">
        <v>2192</v>
      </c>
      <c r="B48" s="3126"/>
      <c r="C48" s="3126"/>
      <c r="D48" s="140">
        <f>IF(H48="情况1",0,IF(H48="情况2",D52,IF(H48="情况3",D53,IF(H48="情况4",D54))))</f>
        <v>0</v>
      </c>
      <c r="E48" s="1799" t="str">
        <f>IF(H48="情况4","(销售额-原购置价)×税（费）率","销售额×税（费）率")</f>
        <v>销售额×税（费）率</v>
      </c>
      <c r="F48" s="175" t="str">
        <f>IF(H48="情况1","免征",'数据-取费表'!B41)</f>
        <v>免征</v>
      </c>
      <c r="G48" s="2479" t="s">
        <v>2193</v>
      </c>
      <c r="H48" s="2480" t="s">
        <v>2194</v>
      </c>
      <c r="I48" s="2478"/>
      <c r="J48" s="1810">
        <v>3</v>
      </c>
      <c r="K48" s="3057" t="s">
        <v>2195</v>
      </c>
      <c r="L48" s="3057"/>
      <c r="M48" s="3060">
        <f ca="1">H101</f>
        <v>184902</v>
      </c>
      <c r="N48" s="3060"/>
      <c r="O48" s="3060"/>
    </row>
    <row r="49" spans="1:35" ht="25.5" customHeight="1">
      <c r="A49" s="176" t="s">
        <v>2196</v>
      </c>
      <c r="B49" s="3105" t="s">
        <v>2197</v>
      </c>
      <c r="C49" s="3105"/>
      <c r="D49" s="177">
        <v>0</v>
      </c>
      <c r="E49" s="23" t="s">
        <v>2198</v>
      </c>
      <c r="F49" s="28" t="s">
        <v>34</v>
      </c>
      <c r="G49" s="3086"/>
      <c r="H49" s="138"/>
      <c r="I49" s="2481"/>
      <c r="J49" s="1810">
        <v>4</v>
      </c>
      <c r="K49" s="3057" t="str">
        <f>IF(项目基本情况!E8="房地产抵押价值","房地产抵押价值","抵押担保权已注销时的房地产抵押价值")</f>
        <v>房地产抵押价值</v>
      </c>
      <c r="L49" s="3057"/>
      <c r="M49" s="3060">
        <f ca="1">IF(项目基本情况!E8="房地产抵押价值",H107,H109)</f>
        <v>184902</v>
      </c>
      <c r="N49" s="3060"/>
      <c r="O49" s="3060"/>
    </row>
    <row r="50" spans="1:35" ht="25.5" customHeight="1">
      <c r="A50" s="178"/>
      <c r="B50" s="3105" t="s">
        <v>2199</v>
      </c>
      <c r="C50" s="3105"/>
      <c r="D50" s="179"/>
      <c r="E50" s="31"/>
      <c r="F50" s="180"/>
      <c r="G50" s="3087"/>
      <c r="H50" s="138"/>
      <c r="I50" s="2481"/>
      <c r="J50" s="3057" t="s">
        <v>2200</v>
      </c>
      <c r="K50" s="3057"/>
      <c r="L50" s="3057"/>
      <c r="M50" s="3057"/>
      <c r="N50" s="3057"/>
      <c r="O50" s="3057"/>
    </row>
    <row r="51" spans="1:35" ht="12" customHeight="1">
      <c r="A51" s="181"/>
      <c r="B51" s="3105" t="s">
        <v>2201</v>
      </c>
      <c r="C51" s="3105"/>
      <c r="D51" s="182"/>
      <c r="E51" s="30"/>
      <c r="F51" s="180"/>
      <c r="G51" s="3088"/>
      <c r="H51" s="138"/>
      <c r="I51" s="2481"/>
      <c r="J51" s="2482" t="s">
        <v>2202</v>
      </c>
      <c r="K51" s="3057" t="s">
        <v>2203</v>
      </c>
      <c r="L51" s="3057"/>
      <c r="M51" s="2482" t="s">
        <v>2204</v>
      </c>
      <c r="N51" s="2482" t="s">
        <v>2205</v>
      </c>
      <c r="O51" s="2482" t="s">
        <v>2206</v>
      </c>
    </row>
    <row r="52" spans="1:35" ht="24" customHeight="1">
      <c r="A52" s="183" t="s">
        <v>2207</v>
      </c>
      <c r="B52" s="3105" t="s">
        <v>2208</v>
      </c>
      <c r="C52" s="3105"/>
      <c r="D52" s="182">
        <f ca="1">ROUND(D45*'数据-取费表'!B41/(1+'数据-取费表'!C42),0)</f>
        <v>9861</v>
      </c>
      <c r="E52" s="11" t="s">
        <v>2209</v>
      </c>
      <c r="F52" s="184">
        <f>'数据-取费表'!B41</f>
        <v>5.6000000000000001E-2</v>
      </c>
      <c r="G52" s="2483"/>
      <c r="H52" s="138"/>
      <c r="I52" s="2481"/>
      <c r="J52" s="1810">
        <v>1</v>
      </c>
      <c r="K52" s="3080" t="s">
        <v>2210</v>
      </c>
      <c r="L52" s="3080"/>
      <c r="M52" s="1752">
        <f>D48</f>
        <v>0</v>
      </c>
      <c r="N52" s="1810" t="str">
        <f>E48</f>
        <v>销售额×税（费）率</v>
      </c>
      <c r="O52" s="1753" t="str">
        <f>F48</f>
        <v>免征</v>
      </c>
    </row>
    <row r="53" spans="1:35" ht="12" customHeight="1">
      <c r="A53" s="183" t="s">
        <v>2211</v>
      </c>
      <c r="B53" s="3106" t="s">
        <v>2212</v>
      </c>
      <c r="C53" s="3107"/>
      <c r="D53" s="182">
        <f ca="1">ROUND(D45*'数据-取费表'!B41/(1+'数据-取费表'!C42),0)</f>
        <v>9861</v>
      </c>
      <c r="E53" s="11" t="s">
        <v>2209</v>
      </c>
      <c r="F53" s="184">
        <f>'数据-取费表'!B41</f>
        <v>5.6000000000000001E-2</v>
      </c>
      <c r="G53" s="2483"/>
      <c r="H53" s="138"/>
      <c r="I53" s="2481"/>
      <c r="J53" s="1810">
        <v>2</v>
      </c>
      <c r="K53" s="3080" t="s">
        <v>2213</v>
      </c>
      <c r="L53" s="3080"/>
      <c r="M53" s="1752">
        <f t="shared" ref="M53:O54" ca="1" si="0">D55</f>
        <v>92</v>
      </c>
      <c r="N53" s="1810" t="str">
        <f t="shared" si="0"/>
        <v>销售额×税（费）率</v>
      </c>
      <c r="O53" s="1753">
        <f t="shared" si="0"/>
        <v>5.0000000000000001E-4</v>
      </c>
    </row>
    <row r="54" spans="1:35" ht="12" customHeight="1">
      <c r="A54" s="183" t="s">
        <v>2214</v>
      </c>
      <c r="B54" s="3106" t="s">
        <v>2215</v>
      </c>
      <c r="C54" s="3107"/>
      <c r="D54" s="182">
        <f ca="1">C68</f>
        <v>9861</v>
      </c>
      <c r="E54" s="30" t="s">
        <v>2216</v>
      </c>
      <c r="F54" s="184">
        <f>'数据-取费表'!B41</f>
        <v>5.6000000000000001E-2</v>
      </c>
      <c r="G54" s="2483"/>
      <c r="H54" s="2484"/>
      <c r="I54" s="2481"/>
      <c r="J54" s="1810">
        <v>3</v>
      </c>
      <c r="K54" s="3080" t="s">
        <v>2217</v>
      </c>
      <c r="L54" s="3080"/>
      <c r="M54" s="1752">
        <f t="shared" ca="1" si="0"/>
        <v>104654</v>
      </c>
      <c r="N54" s="1810" t="str">
        <f t="shared" si="0"/>
        <v>增值额×税（费）率</v>
      </c>
      <c r="O54" s="1754" t="str">
        <f t="shared" si="0"/>
        <v>——</v>
      </c>
    </row>
    <row r="55" spans="1:35" ht="24" customHeight="1">
      <c r="A55" s="3144" t="s">
        <v>2218</v>
      </c>
      <c r="B55" s="3126"/>
      <c r="C55" s="3126"/>
      <c r="D55" s="185">
        <f ca="1">IF(H55="个人住宅",0,ROUND(D45*I55,0))</f>
        <v>92</v>
      </c>
      <c r="E55" s="11" t="s">
        <v>2219</v>
      </c>
      <c r="F55" s="184">
        <f>IF(H55="正常",I55,"免征")</f>
        <v>5.0000000000000001E-4</v>
      </c>
      <c r="G55" s="2483"/>
      <c r="H55" s="2480" t="s">
        <v>2220</v>
      </c>
      <c r="I55" s="186">
        <f>'数据-取费表'!B49</f>
        <v>5.0000000000000001E-4</v>
      </c>
      <c r="J55" s="1810" t="str">
        <f>IF(H59="非个人房产","",4)</f>
        <v/>
      </c>
      <c r="K55" s="3080" t="str">
        <f>IF(H59="非个人房产","——","个人所得税")</f>
        <v>——</v>
      </c>
      <c r="L55" s="3080"/>
      <c r="M55" s="1755" t="str">
        <f>D59</f>
        <v>——</v>
      </c>
      <c r="N55" s="1808" t="str">
        <f>E59</f>
        <v>——</v>
      </c>
      <c r="O55" s="1756" t="str">
        <f>F59</f>
        <v>——</v>
      </c>
    </row>
    <row r="56" spans="1:35" ht="24.75">
      <c r="A56" s="3144" t="s">
        <v>2221</v>
      </c>
      <c r="B56" s="3126"/>
      <c r="C56" s="3126"/>
      <c r="D56" s="185">
        <f ca="1">IF(H56="个人住宅",D57,D58)</f>
        <v>104654</v>
      </c>
      <c r="E56" s="11" t="s">
        <v>2222</v>
      </c>
      <c r="F56" s="184" t="str">
        <f>IF(H56="正常",F58,"免征")</f>
        <v>——</v>
      </c>
      <c r="G56" s="2485" t="s">
        <v>2223</v>
      </c>
      <c r="H56" s="2486" t="s">
        <v>2220</v>
      </c>
      <c r="I56" s="2487"/>
      <c r="J56" s="1810" t="str">
        <f>IF(项目基本情况!K6="上海银行",IF(J55="",4,J55+1),"")</f>
        <v/>
      </c>
      <c r="K56" s="3063" t="str">
        <f>IF(项目基本情况!K6="上海银行","其他处置费用","")</f>
        <v/>
      </c>
      <c r="L56" s="3064"/>
      <c r="M56" s="1752" t="str">
        <f>IF(项目基本情况!K6="上海银行",M69,"")</f>
        <v/>
      </c>
      <c r="N56" s="3066" t="str">
        <f>IF(项目基本情况!K6="上海银行","包含处置中涉及的律师、诉讼、拍卖、评估等费用","")</f>
        <v/>
      </c>
      <c r="O56" s="3067"/>
    </row>
    <row r="57" spans="1:35" ht="12.75">
      <c r="A57" s="183" t="s">
        <v>2196</v>
      </c>
      <c r="B57" s="3111" t="s">
        <v>2224</v>
      </c>
      <c r="C57" s="3112"/>
      <c r="D57" s="187">
        <v>0</v>
      </c>
      <c r="E57" s="23" t="s">
        <v>2198</v>
      </c>
      <c r="F57" s="155"/>
      <c r="G57" s="2483"/>
      <c r="H57" s="2487"/>
      <c r="I57" s="2487"/>
      <c r="J57" s="3080">
        <f>IF(AND(J55="",J56=""),4,IF(项目基本情况!K6="上海银行",结果表!J56+1,结果表!J55+1))</f>
        <v>4</v>
      </c>
      <c r="K57" s="3080" t="s">
        <v>2225</v>
      </c>
      <c r="L57" s="2488" t="s">
        <v>2226</v>
      </c>
      <c r="M57" s="1757"/>
      <c r="N57" s="1758">
        <f ca="1">SUMIF(M52:M56,"&lt;9e307")</f>
        <v>104746</v>
      </c>
      <c r="O57" s="2489"/>
      <c r="P57" s="1751">
        <f ca="1">N57/M49</f>
        <v>0.56649468367026856</v>
      </c>
    </row>
    <row r="58" spans="1:35" ht="24.75">
      <c r="A58" s="183" t="s">
        <v>2207</v>
      </c>
      <c r="B58" s="3111" t="s">
        <v>2227</v>
      </c>
      <c r="C58" s="3124"/>
      <c r="D58" s="185">
        <f ca="1">IF(H58="转让取得",C81,C97)</f>
        <v>104654</v>
      </c>
      <c r="E58" s="11" t="s">
        <v>2222</v>
      </c>
      <c r="F58" s="24" t="s">
        <v>34</v>
      </c>
      <c r="G58" s="2483"/>
      <c r="H58" s="2486" t="s">
        <v>2228</v>
      </c>
      <c r="I58" s="2487"/>
      <c r="J58" s="3080"/>
      <c r="K58" s="3080"/>
      <c r="L58" s="2488" t="s">
        <v>2229</v>
      </c>
      <c r="M58" s="1759"/>
      <c r="N58" s="2490" t="str">
        <f ca="1">NUMBERSTRING(INT(N57*10000),2)&amp;"元整"</f>
        <v>壹拾亿肆仟柒佰肆拾陆万元整</v>
      </c>
      <c r="O58" s="2491"/>
    </row>
    <row r="59" spans="1:35" ht="24.75" thickBot="1">
      <c r="A59" s="3084" t="s">
        <v>2230</v>
      </c>
      <c r="B59" s="3085"/>
      <c r="C59" s="3085"/>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82">
        <f>J57+1</f>
        <v>5</v>
      </c>
      <c r="K59" s="3080" t="s">
        <v>2232</v>
      </c>
      <c r="L59" s="1810" t="s">
        <v>2226</v>
      </c>
      <c r="M59" s="1760"/>
      <c r="N59" s="1761">
        <f ca="1">M49-N57</f>
        <v>80156</v>
      </c>
      <c r="O59" s="2493"/>
    </row>
    <row r="60" spans="1:35" ht="12" customHeight="1">
      <c r="A60" s="2494"/>
      <c r="B60" s="2416"/>
      <c r="C60" s="2416"/>
      <c r="D60" s="2416"/>
      <c r="E60" s="2165"/>
      <c r="F60" s="2487"/>
      <c r="G60" s="2487"/>
      <c r="H60" s="2495"/>
      <c r="I60" s="138"/>
      <c r="J60" s="3083"/>
      <c r="K60" s="3080"/>
      <c r="L60" s="2488" t="s">
        <v>2229</v>
      </c>
      <c r="M60" s="1759"/>
      <c r="N60" s="2490" t="str">
        <f ca="1">NUMBERSTRING(INT(N59*10000),2)&amp;"元整"</f>
        <v>捌亿零壹佰伍拾陆万元整</v>
      </c>
      <c r="O60" s="2491"/>
    </row>
    <row r="61" spans="1:35" ht="13.5" thickBot="1">
      <c r="A61" s="3143" t="s">
        <v>2233</v>
      </c>
      <c r="B61" s="3143"/>
      <c r="C61" s="3143"/>
      <c r="D61" s="3143"/>
      <c r="E61" s="3143"/>
      <c r="F61" s="2487"/>
      <c r="G61" s="2487"/>
      <c r="H61" s="2495"/>
      <c r="I61" s="138"/>
      <c r="J61" s="1810">
        <f>J59+1</f>
        <v>6</v>
      </c>
      <c r="K61" s="3080" t="s">
        <v>2234</v>
      </c>
      <c r="L61" s="3080"/>
      <c r="M61" s="1762"/>
      <c r="N61" s="1763">
        <f ca="1">ROUND(N59*10000/'数据-汇总表'!E3,0)</f>
        <v>15993</v>
      </c>
      <c r="O61" s="2496"/>
    </row>
    <row r="62" spans="1:35" ht="12.75">
      <c r="A62" s="3100" t="s">
        <v>2235</v>
      </c>
      <c r="B62" s="3101"/>
      <c r="C62" s="1802"/>
      <c r="D62" s="1802" t="s">
        <v>2236</v>
      </c>
      <c r="E62" s="192" t="s">
        <v>2237</v>
      </c>
      <c r="F62" s="2487"/>
      <c r="G62" s="2487"/>
      <c r="H62" s="2495"/>
      <c r="I62" s="138"/>
    </row>
    <row r="63" spans="1:35" ht="12.75">
      <c r="A63" s="203" t="s">
        <v>775</v>
      </c>
      <c r="B63" s="193" t="s">
        <v>2238</v>
      </c>
      <c r="C63" s="194">
        <f ca="1">ROUND((C64+C65)/(1+'数据-取费表'!C42),0)</f>
        <v>176097</v>
      </c>
      <c r="D63" s="195"/>
      <c r="E63" s="196"/>
      <c r="F63" s="2487"/>
      <c r="G63" s="2487"/>
      <c r="H63" s="2495"/>
      <c r="I63" s="138"/>
      <c r="J63" s="3065" t="s">
        <v>2239</v>
      </c>
      <c r="K63" s="2497" t="s">
        <v>2240</v>
      </c>
      <c r="L63" s="1750">
        <f ca="1">IF(M49&gt;10000,M49*0.5%,IF(AND(M49&gt;1000,M49&lt;=10000),M49*1%,IF(AND(M49&gt;100,M49&lt;=1000),M49*3%,IF(AND(M49&gt;10,M49&lt;=100),M49*5%,M49*8%))))</f>
        <v>924.51</v>
      </c>
      <c r="M63" s="24">
        <f ca="1">ROUND(L63,1)</f>
        <v>924.5</v>
      </c>
      <c r="Z63" s="2421"/>
      <c r="AI63" s="2422"/>
    </row>
    <row r="64" spans="1:35" ht="14.25" customHeight="1">
      <c r="A64" s="197" t="s">
        <v>770</v>
      </c>
      <c r="B64" s="198" t="s">
        <v>2241</v>
      </c>
      <c r="C64" s="199">
        <f ca="1">D45</f>
        <v>184902</v>
      </c>
      <c r="D64" s="200" t="s">
        <v>32</v>
      </c>
      <c r="E64" s="201"/>
      <c r="F64" s="2487"/>
      <c r="G64" s="2487"/>
      <c r="H64" s="2495"/>
      <c r="I64" s="138"/>
      <c r="J64" s="3065"/>
      <c r="K64" s="2497" t="s">
        <v>2242</v>
      </c>
      <c r="L64" s="1750">
        <f ca="1">IF(M49&gt;2000,M49*0.5%,IF(AND(M49&gt;1000,M49&lt;=2000),M49*0.6%,IF(AND(M49&gt;500,M49&lt;=1000),M49*0.7%,IF(AND(M49&gt;200,M49&lt;=500),M49*0.8%,IF(AND(M49&gt;100,M49&lt;=200),M49*0.9%,IF(AND(M49&gt;50,M49&lt;=100),M49*1%,IF(AND(M49&gt;20,M49&lt;=50),M49*1.5%,IF(AND(M49&gt;10,M49&lt;=20),M49*2%,IF(AND(M49&gt;1,M49&lt;=10),M49*2.5%)))))))))</f>
        <v>924.51</v>
      </c>
      <c r="M64" s="24">
        <f ca="1">ROUND(L64,1)</f>
        <v>924.5</v>
      </c>
      <c r="N64" s="138" t="s">
        <v>2243</v>
      </c>
      <c r="Z64" s="2421"/>
      <c r="AI64" s="2422"/>
    </row>
    <row r="65" spans="1:35" ht="14.25" customHeight="1">
      <c r="A65" s="197" t="s">
        <v>771</v>
      </c>
      <c r="B65" s="198" t="s">
        <v>2244</v>
      </c>
      <c r="C65" s="202"/>
      <c r="D65" s="200"/>
      <c r="E65" s="201"/>
      <c r="F65" s="2487"/>
      <c r="G65" s="2487"/>
      <c r="H65" s="2495"/>
      <c r="I65" s="138"/>
      <c r="J65" s="3065"/>
      <c r="K65" s="2497" t="s">
        <v>2245</v>
      </c>
      <c r="L65" s="1750">
        <f ca="1">IF(M49&gt;1000,M49*0.1%,IF(AND(M49&gt;500,M49&lt;=1000),M49*0.5%,IF(AND(M49&gt;50,M49&lt;=500),M49*1%,IF(AND(M49&gt;1,M49&lt;=50),M49*1.5%))))</f>
        <v>184.90200000000002</v>
      </c>
      <c r="M65" s="24">
        <f ca="1">ROUND(L65,1)</f>
        <v>184.9</v>
      </c>
      <c r="N65" s="138" t="s">
        <v>2243</v>
      </c>
      <c r="Z65" s="2421"/>
      <c r="AI65" s="2422"/>
    </row>
    <row r="66" spans="1:35" ht="14.25" customHeight="1">
      <c r="A66" s="203" t="s">
        <v>772</v>
      </c>
      <c r="B66" s="204" t="s">
        <v>2246</v>
      </c>
      <c r="C66" s="205"/>
      <c r="D66" s="206" t="s">
        <v>32</v>
      </c>
      <c r="E66" s="1774" t="s">
        <v>1371</v>
      </c>
      <c r="F66" s="2487"/>
      <c r="G66" s="2487"/>
      <c r="H66" s="2495"/>
      <c r="I66" s="138"/>
      <c r="J66" s="3065"/>
      <c r="K66" s="2497" t="s">
        <v>2247</v>
      </c>
      <c r="L66" s="1750">
        <f ca="1">M49*0.5%</f>
        <v>924.51</v>
      </c>
      <c r="M66" s="24">
        <f ca="1">IF(L66&gt;0.5,0.5,ROUND(L66,0))</f>
        <v>0.5</v>
      </c>
      <c r="N66" s="138" t="s">
        <v>2248</v>
      </c>
      <c r="Z66" s="2421"/>
      <c r="AI66" s="2422"/>
    </row>
    <row r="67" spans="1:35" ht="14.25" customHeight="1">
      <c r="A67" s="203" t="s">
        <v>773</v>
      </c>
      <c r="B67" s="204" t="s">
        <v>2249</v>
      </c>
      <c r="C67" s="207">
        <f ca="1">C63-C66</f>
        <v>176097</v>
      </c>
      <c r="D67" s="200" t="s">
        <v>32</v>
      </c>
      <c r="E67" s="201"/>
      <c r="F67" s="2487"/>
      <c r="G67" s="2487"/>
      <c r="H67" s="2495"/>
      <c r="I67" s="138"/>
      <c r="J67" s="3065"/>
      <c r="K67" s="2497" t="s">
        <v>2250</v>
      </c>
      <c r="L67" s="1750">
        <f ca="1">IF(M49&gt;=10000,(8.25+(M49-10000)*0.01%),IF(AND(M49&gt;=8000,M49&lt;10000),(7.85+(M49-8000)*0.02%),IF(AND(M49&gt;=5000,M49&lt;8000),(6.65+(M49-5000)*0.04%),IF(AND(M49&gt;=2000,M49&lt;5000),(4.25+(PM49-2000)*0.08%),IF(AND(M49&gt;=1000,M49&lt;2000),(2.75+(M49-1000)*0.15%),IF(AND(M49&gt;=100,M49&lt;1000),(0.5+(M49-100)*0.25%),IF(AND(M49&gt;0,M49&lt;100),M49*0.5%)))))))</f>
        <v>25.740200000000002</v>
      </c>
      <c r="M67" s="24">
        <f ca="1">ROUND(L67*0.9,1)</f>
        <v>23.2</v>
      </c>
      <c r="Z67" s="2421"/>
      <c r="AI67" s="2422"/>
    </row>
    <row r="68" spans="1:35" ht="14.25" customHeight="1" thickBot="1">
      <c r="A68" s="208" t="s">
        <v>774</v>
      </c>
      <c r="B68" s="209" t="s">
        <v>2251</v>
      </c>
      <c r="C68" s="210">
        <f ca="1">IF(C67&lt;=0,0,ROUND(C67*D68,0))</f>
        <v>9861</v>
      </c>
      <c r="D68" s="211">
        <f>'数据-取费表'!B41</f>
        <v>5.6000000000000001E-2</v>
      </c>
      <c r="E68" s="212"/>
      <c r="F68" s="2487"/>
      <c r="G68" s="2487"/>
      <c r="H68" s="2495"/>
      <c r="I68" s="138"/>
      <c r="J68" s="3065"/>
      <c r="K68" s="2497" t="s">
        <v>2252</v>
      </c>
      <c r="L68" s="1750">
        <f ca="1">IF(M49&gt;10000,M49*0.5%,IF(AND(M49&gt;5000,M49&lt;=10000),M49*1%,IF(AND(M49&gt;1000,M49&lt;=5000),M49*2%,IF(AND(M49&gt;200,M49&lt;=1000),M49*3%,M49*5%))))</f>
        <v>924.51</v>
      </c>
      <c r="M68" s="24">
        <f ca="1">ROUND(L68,1)</f>
        <v>924.5</v>
      </c>
      <c r="Z68" s="2421"/>
      <c r="AI68" s="2422"/>
    </row>
    <row r="69" spans="1:35" s="2444" customFormat="1" ht="16.5" customHeight="1">
      <c r="A69" s="2498"/>
      <c r="B69" s="2499"/>
      <c r="C69" s="2500"/>
      <c r="D69" s="2501"/>
      <c r="E69" s="2502"/>
      <c r="F69" s="2165"/>
      <c r="G69" s="2165"/>
      <c r="H69" s="2164"/>
      <c r="I69" s="2416"/>
      <c r="J69" s="3065"/>
      <c r="K69" s="2497" t="s">
        <v>2253</v>
      </c>
      <c r="L69" s="2503"/>
      <c r="M69" s="24">
        <f ca="1">ROUND(SUM(M63:M68),0)</f>
        <v>2982</v>
      </c>
      <c r="N69" s="1751">
        <f ca="1">M69/M49</f>
        <v>1.6127462115066358E-2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9" t="s">
        <v>2254</v>
      </c>
      <c r="B70" s="3110"/>
      <c r="C70" s="3110"/>
      <c r="D70" s="3110"/>
      <c r="E70" s="3110"/>
      <c r="F70" s="3110"/>
      <c r="G70" s="3110"/>
      <c r="H70" s="311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0" t="s">
        <v>2235</v>
      </c>
      <c r="B71" s="3101"/>
      <c r="C71" s="1802"/>
      <c r="D71" s="1802"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176097</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1057</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06" t="s">
        <v>2263</v>
      </c>
      <c r="F76" s="3105"/>
      <c r="G76" s="3105"/>
      <c r="H76" s="310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1057</v>
      </c>
      <c r="D78" s="226">
        <f>'数据-取费表'!B43</f>
        <v>6.000000000000001E-3</v>
      </c>
      <c r="E78" s="3097" t="s">
        <v>2268</v>
      </c>
      <c r="F78" s="3098"/>
      <c r="G78" s="3098"/>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175040</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165.60075685903502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104654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9" t="s">
        <v>2272</v>
      </c>
      <c r="B83" s="3110"/>
      <c r="C83" s="3110"/>
      <c r="D83" s="3110"/>
      <c r="E83" s="3110"/>
      <c r="F83" s="3110"/>
      <c r="G83" s="3110"/>
      <c r="H83" s="311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0" t="s">
        <v>2235</v>
      </c>
      <c r="B84" s="3101"/>
      <c r="C84" s="1802"/>
      <c r="D84" s="1802"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176097</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1057</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8"/>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97" t="s">
        <v>2281</v>
      </c>
      <c r="F91" s="3098"/>
      <c r="G91" s="3098"/>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97" t="s">
        <v>2285</v>
      </c>
      <c r="F92" s="3098"/>
      <c r="G92" s="3098"/>
      <c r="H92" s="309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1057</v>
      </c>
      <c r="D93" s="226">
        <f>'数据-取费表'!B43</f>
        <v>6.000000000000001E-3</v>
      </c>
      <c r="E93" s="3097" t="s">
        <v>2268</v>
      </c>
      <c r="F93" s="3098"/>
      <c r="G93" s="3098"/>
      <c r="H93" s="309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45" t="s">
        <v>2289</v>
      </c>
      <c r="F94" s="3146"/>
      <c r="G94" s="3146"/>
      <c r="H94" s="314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175040</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165.60075685903502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104654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049" t="s">
        <v>2291</v>
      </c>
      <c r="B100" s="3050"/>
      <c r="C100" s="3050"/>
      <c r="D100" s="3081"/>
      <c r="E100" s="3050" t="s">
        <v>2292</v>
      </c>
      <c r="F100" s="3050"/>
      <c r="G100" s="3050"/>
      <c r="H100" s="3081"/>
      <c r="I100" s="138"/>
    </row>
    <row r="101" spans="1:35" ht="18.75" customHeight="1">
      <c r="A101" s="3089" t="s">
        <v>2293</v>
      </c>
      <c r="B101" s="3090"/>
      <c r="C101" s="736" t="str">
        <f>C4</f>
        <v>成本法</v>
      </c>
      <c r="D101" s="737" t="str">
        <f>D4</f>
        <v>收益法（汇总）</v>
      </c>
      <c r="E101" s="3061" t="s">
        <v>2294</v>
      </c>
      <c r="F101" s="3062"/>
      <c r="G101" s="2518" t="s">
        <v>2295</v>
      </c>
      <c r="H101" s="1046">
        <f ca="1">H118</f>
        <v>184902</v>
      </c>
      <c r="I101" s="138"/>
    </row>
    <row r="102" spans="1:35" ht="18.75" customHeight="1">
      <c r="A102" s="3091" t="s">
        <v>2296</v>
      </c>
      <c r="B102" s="2518" t="s">
        <v>2295</v>
      </c>
      <c r="C102" s="736">
        <f ca="1">C19</f>
        <v>194663</v>
      </c>
      <c r="D102" s="737">
        <f ca="1">D19</f>
        <v>175140</v>
      </c>
      <c r="E102" s="3061"/>
      <c r="F102" s="3062"/>
      <c r="G102" s="2518" t="s">
        <v>2297</v>
      </c>
      <c r="H102" s="371">
        <f ca="1">I118</f>
        <v>36892</v>
      </c>
      <c r="I102" s="138"/>
    </row>
    <row r="103" spans="1:35" ht="42.75" customHeight="1">
      <c r="A103" s="3091"/>
      <c r="B103" s="2518" t="s">
        <v>2297</v>
      </c>
      <c r="C103" s="738">
        <f ca="1">C20</f>
        <v>38839</v>
      </c>
      <c r="D103" s="739">
        <f ca="1">D20</f>
        <v>35419</v>
      </c>
      <c r="E103" s="3055" t="s">
        <v>2298</v>
      </c>
      <c r="F103" s="3056"/>
      <c r="G103" s="2519" t="s">
        <v>2299</v>
      </c>
      <c r="H103" s="1046">
        <f>IF(D36="正常操作",H104+H105+H106,H105+H106)</f>
        <v>0</v>
      </c>
      <c r="I103" s="138"/>
    </row>
    <row r="104" spans="1:35" ht="18.75" customHeight="1">
      <c r="A104" s="3091" t="s">
        <v>2300</v>
      </c>
      <c r="B104" s="2520" t="s">
        <v>2295</v>
      </c>
      <c r="C104" s="740">
        <f ca="1">H118</f>
        <v>184902</v>
      </c>
      <c r="D104" s="741"/>
      <c r="E104" s="2265" t="s">
        <v>2301</v>
      </c>
      <c r="F104" s="2257"/>
      <c r="G104" s="2519" t="s">
        <v>2299</v>
      </c>
      <c r="H104" s="1047">
        <f>IF(D36="同一抵押权人同一抵押物续贷",C36&amp;"（未扣减，详见特别提示）",C36)</f>
        <v>0</v>
      </c>
      <c r="I104" s="138"/>
    </row>
    <row r="105" spans="1:35" ht="18.75" customHeight="1" thickBot="1">
      <c r="A105" s="3103"/>
      <c r="B105" s="2521" t="s">
        <v>2297</v>
      </c>
      <c r="C105" s="742">
        <f ca="1">I118</f>
        <v>36892</v>
      </c>
      <c r="D105" s="743"/>
      <c r="E105" s="2265" t="s">
        <v>2302</v>
      </c>
      <c r="F105" s="2257"/>
      <c r="G105" s="2519" t="s">
        <v>2299</v>
      </c>
      <c r="H105" s="1047">
        <f>C37</f>
        <v>0</v>
      </c>
      <c r="I105" s="138"/>
    </row>
    <row r="106" spans="1:35" ht="18.75" customHeight="1">
      <c r="A106" s="2416" t="s">
        <v>2303</v>
      </c>
      <c r="B106" s="2416"/>
      <c r="C106" s="2416"/>
      <c r="D106" s="2416"/>
      <c r="E106" s="2522" t="s">
        <v>2304</v>
      </c>
      <c r="F106" s="2257"/>
      <c r="G106" s="2519" t="s">
        <v>2299</v>
      </c>
      <c r="H106" s="1047">
        <f>C38</f>
        <v>0</v>
      </c>
      <c r="I106" s="138"/>
    </row>
    <row r="107" spans="1:35" ht="18.75" customHeight="1">
      <c r="A107" s="138"/>
      <c r="B107" s="138"/>
      <c r="C107" s="138"/>
      <c r="D107" s="138"/>
      <c r="E107" s="3092" t="str">
        <f>IF(项目基本情况!E8="已注销","——","3.房地产抵押价值")</f>
        <v>3.房地产抵押价值</v>
      </c>
      <c r="F107" s="3062"/>
      <c r="G107" s="2518" t="s">
        <v>2295</v>
      </c>
      <c r="H107" s="1046">
        <f ca="1">IF(E107="——","——",H101-H103)</f>
        <v>184902</v>
      </c>
      <c r="I107" s="138"/>
    </row>
    <row r="108" spans="1:35" ht="18.75" customHeight="1">
      <c r="A108" s="138"/>
      <c r="B108" s="138"/>
      <c r="C108" s="138"/>
      <c r="D108" s="138"/>
      <c r="E108" s="3092"/>
      <c r="F108" s="3062"/>
      <c r="G108" s="2518" t="s">
        <v>2297</v>
      </c>
      <c r="H108" s="371">
        <f ca="1">ROUND(H107*10000/'数据-汇总表'!E3,0)</f>
        <v>36892</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8" t="s">
        <v>2295</v>
      </c>
      <c r="H109" s="348" t="str">
        <f>IF(E109="——","——",H101-H105-H106)</f>
        <v>——</v>
      </c>
      <c r="I109" s="138"/>
    </row>
    <row r="110" spans="1:35" ht="18.75" customHeight="1">
      <c r="A110" s="138"/>
      <c r="B110" s="138"/>
      <c r="C110" s="138"/>
      <c r="D110" s="138"/>
      <c r="E110" s="3092"/>
      <c r="F110" s="3062"/>
      <c r="G110" s="2518" t="s">
        <v>2297</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8" t="s">
        <v>2295</v>
      </c>
      <c r="H111" s="1046" t="str">
        <f>IF(E111="——","——",N59)</f>
        <v>——</v>
      </c>
      <c r="I111" s="138"/>
    </row>
    <row r="112" spans="1:35" ht="18.75" customHeight="1" thickBot="1">
      <c r="A112" s="138"/>
      <c r="B112" s="138"/>
      <c r="C112" s="138"/>
      <c r="D112" s="138"/>
      <c r="E112" s="3095"/>
      <c r="F112" s="3096"/>
      <c r="G112" s="2523" t="s">
        <v>2297</v>
      </c>
      <c r="H112" s="790" t="str">
        <f>IF(E111="——","——",N61)</f>
        <v>——</v>
      </c>
      <c r="I112" s="138"/>
    </row>
    <row r="113" spans="1:11" ht="18.75" customHeight="1">
      <c r="A113" s="138"/>
      <c r="B113" s="138"/>
      <c r="C113" s="138"/>
      <c r="D113" s="138"/>
      <c r="E113" s="3104" t="s">
        <v>2303</v>
      </c>
      <c r="F113" s="3104"/>
      <c r="G113" s="3104"/>
      <c r="H113" s="3104"/>
      <c r="I113" s="138"/>
    </row>
    <row r="114" spans="1:11" ht="3.75" customHeight="1">
      <c r="A114" s="2416"/>
      <c r="B114" s="2416"/>
      <c r="C114" s="2416"/>
      <c r="D114" s="2416"/>
      <c r="E114" s="2494"/>
      <c r="F114" s="2494"/>
      <c r="G114" s="2494"/>
      <c r="H114" s="2494"/>
      <c r="I114" s="2416"/>
    </row>
    <row r="115" spans="1:11" ht="18.75" customHeight="1">
      <c r="A115" s="3117" t="s">
        <v>2305</v>
      </c>
      <c r="B115" s="3118"/>
      <c r="C115" s="3118"/>
      <c r="D115" s="3118"/>
      <c r="E115" s="3118"/>
      <c r="F115" s="3118"/>
      <c r="G115" s="3118"/>
      <c r="H115" s="3118"/>
      <c r="I115" s="3119"/>
    </row>
    <row r="116" spans="1:11" ht="27" customHeight="1">
      <c r="A116" s="3028" t="s">
        <v>2306</v>
      </c>
      <c r="B116" s="3071" t="s">
        <v>2307</v>
      </c>
      <c r="C116" s="3071" t="s">
        <v>2308</v>
      </c>
      <c r="D116" s="3077" t="s">
        <v>2309</v>
      </c>
      <c r="E116" s="3078"/>
      <c r="F116" s="3113" t="s">
        <v>2310</v>
      </c>
      <c r="G116" s="3113"/>
      <c r="H116" s="3028" t="s">
        <v>2311</v>
      </c>
      <c r="I116" s="3028"/>
    </row>
    <row r="117" spans="1:11" ht="18.75" customHeight="1">
      <c r="A117" s="3028"/>
      <c r="B117" s="3072"/>
      <c r="C117" s="3072"/>
      <c r="D117" s="1796" t="s">
        <v>2312</v>
      </c>
      <c r="E117" s="1796" t="s">
        <v>2313</v>
      </c>
      <c r="F117" s="1796" t="s">
        <v>2312</v>
      </c>
      <c r="G117" s="1796" t="s">
        <v>2314</v>
      </c>
      <c r="H117" s="1796" t="s">
        <v>2312</v>
      </c>
      <c r="I117" s="1796" t="s">
        <v>2314</v>
      </c>
    </row>
    <row r="118" spans="1:11" ht="24.75" customHeight="1">
      <c r="A118" s="2524" t="str">
        <f>项目基本情况!S2</f>
        <v>北京市东城区香河园街1号11号楼房地产</v>
      </c>
      <c r="B118" s="1796">
        <f>M18</f>
        <v>50120.32</v>
      </c>
      <c r="C118" s="1796">
        <f>M19</f>
        <v>5235.2</v>
      </c>
      <c r="D118" s="1796">
        <f ca="1">ROUND(IF(D32="总价",C34,E118*B118/10000),0)</f>
        <v>154763</v>
      </c>
      <c r="E118" s="1796">
        <f ca="1">ROUND(IF(C33="自定义",IF(D32="楼面单价",C34,D118*10000/B118),I118-G118),0)</f>
        <v>30879</v>
      </c>
      <c r="F118" s="1796">
        <f ca="1">ROUND(IF(D32="总价",C35,G118*B118/10000),0)</f>
        <v>30139</v>
      </c>
      <c r="G118" s="1796">
        <f ca="1">ROUND(IF(D32="楼面单价",C35,F118*10000/B118),0)</f>
        <v>6013</v>
      </c>
      <c r="H118" s="1796">
        <f ca="1">ROUND(IF(D32="总价",C32,I118*B118/10000),0)</f>
        <v>184902</v>
      </c>
      <c r="I118" s="1796">
        <f ca="1">ROUND(IF(D32="楼面单价",C32,H118*10000/B118),0)</f>
        <v>36892</v>
      </c>
    </row>
    <row r="119" spans="1:11" ht="27.75" customHeight="1">
      <c r="A119" s="3028" t="s">
        <v>2315</v>
      </c>
      <c r="B119" s="3028"/>
      <c r="C119" s="3028"/>
      <c r="D119" s="3073" t="str">
        <f ca="1">NUMBERSTRING(INT(D118*10000),2)&amp;"元整"</f>
        <v>壹拾伍亿肆仟柒佰陆拾叁万元整</v>
      </c>
      <c r="E119" s="3074"/>
      <c r="F119" s="3073" t="str">
        <f ca="1">NUMBERSTRING(INT(F118*10000),2)&amp;"元整"</f>
        <v>叁亿零壹佰叁拾玖万元整</v>
      </c>
      <c r="G119" s="3074"/>
      <c r="H119" s="3073" t="str">
        <f ca="1">NUMBERSTRING(INT(H118*10000),2)&amp;"元整"</f>
        <v>壹拾捌亿肆仟玖佰零贰万元整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1" t="str">
        <f>IF(D120=0,"故，本次评估不存在"&amp;A120,"故，本次评估"&amp;A120&amp;"为人民币"&amp;D120&amp;"万元整。")</f>
        <v>故，本次评估不存在估价师知悉的法定优先受偿款</v>
      </c>
    </row>
    <row r="121" spans="1:11" ht="18.75" customHeight="1">
      <c r="A121" s="3114" t="s">
        <v>2315</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184902</v>
      </c>
      <c r="E122" s="3069"/>
      <c r="F122" s="3069"/>
      <c r="G122" s="3069"/>
      <c r="H122" s="3069"/>
      <c r="I122" s="3070"/>
    </row>
    <row r="123" spans="1:11" ht="18.75" customHeight="1">
      <c r="A123" s="3028" t="s">
        <v>2315</v>
      </c>
      <c r="B123" s="3028"/>
      <c r="C123" s="3028"/>
      <c r="D123" s="3073" t="str">
        <f ca="1">NUMBERSTRING(INT(D122*10000),2)&amp;"元整"</f>
        <v>壹拾捌亿肆仟玖佰零贰万元整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2315</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2315</v>
      </c>
      <c r="B127" s="3028"/>
      <c r="C127" s="3028"/>
      <c r="D127" s="3073" t="e">
        <f>NUMBERSTRING(INT(D126*10000),2)&amp;"元整"</f>
        <v>#VALUE!</v>
      </c>
      <c r="E127" s="3075"/>
      <c r="F127" s="3075"/>
      <c r="G127" s="3075"/>
      <c r="H127" s="3075"/>
      <c r="I127" s="3074"/>
    </row>
    <row r="128" spans="1:11" ht="21.75" customHeight="1">
      <c r="A128" s="3076" t="s">
        <v>2316</v>
      </c>
      <c r="B128" s="3076"/>
      <c r="C128" s="3076"/>
      <c r="D128" s="3076"/>
      <c r="E128" s="3076"/>
      <c r="F128" s="3076"/>
      <c r="G128" s="3076"/>
      <c r="H128" s="3076"/>
      <c r="I128" s="3076"/>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3" t="s">
        <v>2426</v>
      </c>
      <c r="D1" s="242"/>
      <c r="E1" s="242"/>
      <c r="F1" s="242"/>
      <c r="G1" s="1380">
        <f>MATCH(B1,'数据-取费表'!A6:A16,0)+5</f>
        <v>10</v>
      </c>
      <c r="H1" s="1283" t="str">
        <f>IF(ISERROR(FIND("住宅",B1)),"非住宅","住宅")</f>
        <v>非住宅</v>
      </c>
    </row>
    <row r="2" spans="1:8" s="244" customFormat="1" ht="18" customHeight="1">
      <c r="A2" s="245" t="s">
        <v>2325</v>
      </c>
      <c r="B2" s="246">
        <f ca="1">ROUND(IF(D2="——",C52/10000,C52/10000-E2),0)</f>
        <v>33253</v>
      </c>
      <c r="C2" s="243" t="s">
        <v>2326</v>
      </c>
      <c r="D2" s="2547" t="s">
        <v>70</v>
      </c>
      <c r="E2" s="1441"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6635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10024064</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10024064</v>
      </c>
      <c r="D8" s="266"/>
      <c r="E8" s="264"/>
      <c r="F8" s="265"/>
      <c r="G8" s="2550"/>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2343</v>
      </c>
      <c r="C10" s="269">
        <f ca="1">ROUND(D10*E10,0)</f>
        <v>10024064</v>
      </c>
      <c r="D10" s="1033">
        <f ca="1">IF(B1="",'数据-汇总表'!E6,IF(INDIRECT("'数据-取费表'!c"&amp;$G$1)="住宅",INDIRECT("'数据-取费表'!s"&amp;$G$1),INDIRECT("'数据-取费表'!k"&amp;$G$1)+INDIRECT("'数据-取费表'!s"&amp;$G$1)))</f>
        <v>50120.32</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0</v>
      </c>
      <c r="D19" s="1037">
        <f ca="1">D9+D10</f>
        <v>50120.32</v>
      </c>
      <c r="E19" s="255">
        <f>'数据-取费表'!B31</f>
        <v>0</v>
      </c>
      <c r="F19" s="275"/>
      <c r="G19" s="2550"/>
    </row>
    <row r="20" spans="1:7" s="258" customFormat="1" ht="13.5" customHeight="1">
      <c r="A20" s="299" t="s">
        <v>2437</v>
      </c>
      <c r="B20" s="254" t="s">
        <v>2438</v>
      </c>
      <c r="C20" s="276">
        <f ca="1">ROUND((C5+C19)*F20,0)</f>
        <v>200481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984426</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2">
        <f ca="1">ROUND(IF('数据-取费表'!B22&lt;=1,C5*F22*'数据-取费表'!B22,C5*(POWER((1+F22),'数据-取费表'!B22)-1)),0)</f>
        <v>974903</v>
      </c>
      <c r="D23" s="282"/>
      <c r="E23" s="282"/>
      <c r="F23" s="283"/>
      <c r="G23" s="284" t="s">
        <v>2447</v>
      </c>
    </row>
    <row r="24" spans="1:7" s="258" customFormat="1" ht="13.5" customHeight="1">
      <c r="A24" s="952" t="s">
        <v>2337</v>
      </c>
      <c r="B24" s="259" t="s">
        <v>2448</v>
      </c>
      <c r="C24" s="1382">
        <f ca="1">ROUND(IF('数据-取费表'!B22&lt;=1,C19*F22*('数据-取费表'!B19/2+'数据-取费表'!B20),C19*(POWER((1+F22),('数据-取费表'!B19/2+'数据-取费表'!B20))-1)),0)</f>
        <v>0</v>
      </c>
      <c r="D24" s="282"/>
      <c r="E24" s="282"/>
      <c r="F24" s="283"/>
      <c r="G24" s="284" t="s">
        <v>2449</v>
      </c>
    </row>
    <row r="25" spans="1:7" s="258" customFormat="1" ht="24">
      <c r="A25" s="952" t="s">
        <v>2339</v>
      </c>
      <c r="B25" s="259" t="s">
        <v>2450</v>
      </c>
      <c r="C25" s="1382">
        <f ca="1">ROUND(IF('数据-取费表'!B22&lt;=1,C20*F22*'数据-取费表'!B22/2,C20*(POWER((1+F22),'数据-取费表'!B22/2)-1)),0)</f>
        <v>9523</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2249400</v>
      </c>
      <c r="D27" s="279">
        <f ca="1">C29</f>
        <v>4.4000000000000003E-3</v>
      </c>
      <c r="E27" s="280" t="s">
        <v>2377</v>
      </c>
      <c r="F27" s="290">
        <f ca="1">IF(B1="",'数据-取费表'!Q16,INDIRECT("'数据-取费表'!q"&amp;$G$1))</f>
        <v>0.22</v>
      </c>
      <c r="G27" s="291" t="s">
        <v>2378</v>
      </c>
    </row>
    <row r="28" spans="1:7" s="258" customFormat="1" ht="13.5" customHeight="1">
      <c r="A28" s="952" t="s">
        <v>791</v>
      </c>
      <c r="B28" s="292" t="s">
        <v>2379</v>
      </c>
      <c r="C28" s="293">
        <f ca="1">ROUND((C5+C19+C20)*F27,0)</f>
        <v>2249400</v>
      </c>
      <c r="D28" s="279"/>
      <c r="E28" s="280"/>
      <c r="F28" s="290"/>
      <c r="G28" s="291"/>
    </row>
    <row r="29" spans="1:7" s="258" customFormat="1" ht="13.5" customHeight="1">
      <c r="A29" s="952"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14608022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242827638</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222778540</v>
      </c>
      <c r="D34" s="261"/>
      <c r="E34" s="264"/>
      <c r="F34" s="301"/>
      <c r="G34" s="263"/>
    </row>
    <row r="35" spans="1:7" ht="13.5" customHeight="1">
      <c r="A35" s="952" t="s">
        <v>796</v>
      </c>
      <c r="B35" s="259" t="s">
        <v>2390</v>
      </c>
      <c r="C35" s="264">
        <f ca="1">ROUND(C34*F35,0)</f>
        <v>6683356</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0.04</v>
      </c>
      <c r="G36" s="304" t="s">
        <v>2393</v>
      </c>
    </row>
    <row r="37" spans="1:7" s="302" customFormat="1" ht="13.5" customHeight="1">
      <c r="A37" s="952" t="s">
        <v>798</v>
      </c>
      <c r="B37" s="259" t="s">
        <v>2394</v>
      </c>
      <c r="C37" s="293">
        <f ca="1">ROUND(E37*D37,0)</f>
        <v>10024064</v>
      </c>
      <c r="D37" s="261">
        <f ca="1">D19</f>
        <v>50120.32</v>
      </c>
      <c r="E37" s="293">
        <f>'数据-取费表'!B35</f>
        <v>200</v>
      </c>
      <c r="F37" s="303"/>
      <c r="G37" s="305"/>
    </row>
    <row r="38" spans="1:7" ht="13.5" customHeight="1">
      <c r="A38" s="952" t="s">
        <v>799</v>
      </c>
      <c r="B38" s="259" t="s">
        <v>2396</v>
      </c>
      <c r="C38" s="264">
        <f ca="1">ROUND(C34*F38,0)</f>
        <v>3341678</v>
      </c>
      <c r="D38" s="264"/>
      <c r="E38" s="264"/>
      <c r="F38" s="303">
        <f>'数据-取费表'!B36</f>
        <v>1.4999999999999999E-2</v>
      </c>
      <c r="G38" s="263" t="s">
        <v>2391</v>
      </c>
    </row>
    <row r="39" spans="1:7" s="258" customFormat="1" ht="13.5" customHeight="1">
      <c r="A39" s="299" t="s">
        <v>2397</v>
      </c>
      <c r="B39" s="254" t="s">
        <v>2398</v>
      </c>
      <c r="C39" s="276">
        <f ca="1">ROUND(C33*F20,0)</f>
        <v>4856553</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11764999</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11534313</v>
      </c>
      <c r="D42" s="282"/>
      <c r="E42" s="282"/>
      <c r="F42" s="283"/>
      <c r="G42" s="3148" t="s">
        <v>2454</v>
      </c>
    </row>
    <row r="43" spans="1:7" ht="13.5" customHeight="1">
      <c r="A43" s="952" t="s">
        <v>792</v>
      </c>
      <c r="B43" s="259" t="s">
        <v>2408</v>
      </c>
      <c r="C43" s="282">
        <f ca="1">ROUND(IF('数据-取费表'!B22&lt;=1,C39*F22*'数据-取费表'!B20/2,C39*(POWER((1+F22),'数据-取费表'!B20/2)-1)),0)</f>
        <v>230686</v>
      </c>
      <c r="D43" s="282"/>
      <c r="E43" s="282"/>
      <c r="F43" s="283"/>
      <c r="G43" s="3149"/>
    </row>
    <row r="44" spans="1:7" ht="13.5" customHeight="1">
      <c r="A44" s="952" t="s">
        <v>793</v>
      </c>
      <c r="B44" s="259" t="s">
        <v>2409</v>
      </c>
      <c r="C44" s="282">
        <f ca="1">ROUND(IF('数据-取费表'!B22&lt;=1,C40*F22*'数据-取费表'!B20/2,C40*(POWER((1+F22),'数据-取费表'!B20/2)-1)),4)</f>
        <v>1E-3</v>
      </c>
      <c r="D44" s="282"/>
      <c r="E44" s="282"/>
      <c r="F44" s="283"/>
      <c r="G44" s="3150"/>
    </row>
    <row r="45" spans="1:7" s="258" customFormat="1" ht="13.5" customHeight="1">
      <c r="A45" s="299" t="s">
        <v>2410</v>
      </c>
      <c r="B45" s="288" t="s">
        <v>2376</v>
      </c>
      <c r="C45" s="289">
        <f ca="1">C46</f>
        <v>54490522</v>
      </c>
      <c r="D45" s="279">
        <f ca="1">C47</f>
        <v>4.4000000000000003E-3</v>
      </c>
      <c r="E45" s="280" t="s">
        <v>2402</v>
      </c>
      <c r="F45" s="290"/>
      <c r="G45" s="291" t="s">
        <v>2411</v>
      </c>
    </row>
    <row r="46" spans="1:7" s="258" customFormat="1" ht="13.5" customHeight="1">
      <c r="A46" s="952" t="s">
        <v>791</v>
      </c>
      <c r="B46" s="292" t="s">
        <v>2412</v>
      </c>
      <c r="C46" s="293">
        <f ca="1">ROUND((C33+C39)*F27,0)</f>
        <v>54490522</v>
      </c>
      <c r="D46" s="307"/>
      <c r="E46" s="280"/>
      <c r="F46" s="290"/>
      <c r="G46" s="291"/>
    </row>
    <row r="47" spans="1:7" s="258" customFormat="1" ht="13.5" customHeight="1">
      <c r="A47" s="952"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340757312</v>
      </c>
      <c r="D49" s="276"/>
      <c r="E49" s="276"/>
      <c r="F49" s="308"/>
      <c r="G49" s="278" t="s">
        <v>2417</v>
      </c>
    </row>
    <row r="50" spans="1:7" s="302" customFormat="1">
      <c r="A50" s="299" t="s">
        <v>2418</v>
      </c>
      <c r="B50" s="254" t="s">
        <v>2419</v>
      </c>
      <c r="C50" s="276"/>
      <c r="D50" s="276"/>
      <c r="E50" s="276"/>
      <c r="F50" s="308">
        <f>IF('数据-取费表'!B24=0,'数据-取费表'!N16,1)</f>
        <v>0.93300000000000005</v>
      </c>
      <c r="G50" s="291"/>
    </row>
    <row r="51" spans="1:7" ht="16.5" customHeight="1">
      <c r="A51" s="299" t="s">
        <v>2421</v>
      </c>
      <c r="B51" s="254" t="s">
        <v>2456</v>
      </c>
      <c r="C51" s="276">
        <f ca="1">ROUND(C49*F50,0)</f>
        <v>317926572</v>
      </c>
      <c r="D51" s="276"/>
      <c r="E51" s="276"/>
      <c r="F51" s="308"/>
      <c r="G51" s="278" t="s">
        <v>2423</v>
      </c>
    </row>
    <row r="52" spans="1:7" s="252" customFormat="1" ht="16.5" thickBot="1">
      <c r="A52" s="309" t="s">
        <v>2424</v>
      </c>
      <c r="B52" s="310"/>
      <c r="C52" s="311">
        <f ca="1">C31+C51</f>
        <v>332534594</v>
      </c>
      <c r="D52" s="310"/>
      <c r="E52" s="310"/>
      <c r="F52" s="310"/>
      <c r="G52" s="312"/>
    </row>
    <row r="55" spans="1:7" ht="15">
      <c r="B55" s="314" t="s">
        <v>2425</v>
      </c>
      <c r="C55" s="315"/>
    </row>
    <row r="56" spans="1:7">
      <c r="B56" s="317" t="s">
        <v>1513</v>
      </c>
      <c r="C56" s="319">
        <f ca="1">1-C57</f>
        <v>4.4000000000000039E-2</v>
      </c>
    </row>
    <row r="57" spans="1:7">
      <c r="B57" s="317" t="s">
        <v>1514</v>
      </c>
      <c r="C57" s="318">
        <f ca="1">ROUND(C51/C52,3)</f>
        <v>0.95599999999999996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2"/>
      <c r="C1" s="1583"/>
      <c r="D1" s="1581"/>
      <c r="E1" s="320"/>
      <c r="F1" s="320"/>
      <c r="G1" s="1582"/>
      <c r="H1" s="320"/>
      <c r="I1" s="320"/>
      <c r="J1" s="320"/>
      <c r="K1" s="320">
        <f>MATCH(C1,'数据-取费表'!A6:A16,0)+5</f>
        <v>10</v>
      </c>
    </row>
    <row r="2" spans="1:33" ht="18" customHeight="1">
      <c r="A2" s="245" t="s">
        <v>2325</v>
      </c>
      <c r="B2" s="248">
        <f ca="1">C32</f>
        <v>-2424</v>
      </c>
      <c r="C2" s="320" t="s">
        <v>2458</v>
      </c>
      <c r="D2" s="320"/>
      <c r="E2" s="320"/>
      <c r="F2" s="320"/>
      <c r="G2" s="320"/>
      <c r="H2" s="320"/>
      <c r="I2" s="320"/>
      <c r="J2" s="320"/>
      <c r="K2" s="320"/>
    </row>
    <row r="3" spans="1:33" ht="18" customHeight="1" thickBot="1">
      <c r="A3" s="247" t="s">
        <v>2327</v>
      </c>
      <c r="B3" s="248">
        <f ca="1">ROUND(B2*10000/IF(C1="",'数据-汇总表'!E3,INDIRECT("'数据-取费表'!K"&amp;$K$1)),0)</f>
        <v>-484</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4" t="s">
        <v>2463</v>
      </c>
      <c r="D5" s="2554" t="s">
        <v>2464</v>
      </c>
      <c r="E5" s="2554" t="s">
        <v>2465</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0.04</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50120.32</v>
      </c>
      <c r="E14" s="24">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1002</v>
      </c>
      <c r="D17" s="1034">
        <f ca="1">D14</f>
        <v>50120.32</v>
      </c>
      <c r="E17" s="24">
        <f>'数据-取费表'!B32</f>
        <v>200</v>
      </c>
      <c r="F17" s="979"/>
      <c r="G17" s="140"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1002</v>
      </c>
      <c r="D18" s="1034"/>
      <c r="E18" s="24"/>
      <c r="F18" s="977"/>
      <c r="G18" s="2556"/>
      <c r="H18" s="1578"/>
      <c r="I18" s="2557"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2493</v>
      </c>
      <c r="C20" s="24">
        <f ca="1">ROUND(D20*E20/10000,0)</f>
        <v>1002</v>
      </c>
      <c r="D20" s="1034">
        <f ca="1">IF(C1="",'数据-汇总表'!E6,IF(INDIRECT("'数据-取费表'!c"&amp;$K$1)="住宅",INDIRECT("'数据-取费表'!s"&amp;$K$1),INDIRECT("'数据-取费表'!k"&amp;$K$1)+INDIRECT("'数据-取费表'!s"&amp;$K$1)))</f>
        <v>50120.32</v>
      </c>
      <c r="E20" s="24">
        <f>'数据-取费表'!B28</f>
        <v>200</v>
      </c>
      <c r="F20" s="977"/>
      <c r="G20" s="15"/>
      <c r="H20" s="982"/>
      <c r="I20" s="982"/>
      <c r="J20" s="982"/>
      <c r="K20" s="983"/>
    </row>
    <row r="21" spans="1:33" s="976" customFormat="1" ht="13.5" customHeight="1">
      <c r="A21" s="962" t="s">
        <v>802</v>
      </c>
      <c r="B21" s="986" t="s">
        <v>2494</v>
      </c>
      <c r="C21" s="987">
        <f ca="1">C16+C17+C18</f>
        <v>2004</v>
      </c>
      <c r="D21" s="988"/>
      <c r="E21" s="325"/>
      <c r="F21" s="325"/>
      <c r="G21" s="140" t="s">
        <v>2495</v>
      </c>
      <c r="H21" s="980"/>
      <c r="I21" s="980"/>
      <c r="J21" s="980"/>
      <c r="K21" s="981"/>
    </row>
    <row r="22" spans="1:33" s="976" customFormat="1" ht="13.5" customHeight="1">
      <c r="A22" s="962" t="s">
        <v>2467</v>
      </c>
      <c r="B22" s="986" t="s">
        <v>2496</v>
      </c>
      <c r="C22" s="987">
        <f ca="1">ROUND(C21*F22,0)</f>
        <v>40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0"/>
      <c r="I27" s="980"/>
      <c r="J27" s="980"/>
      <c r="K27" s="981"/>
    </row>
    <row r="28" spans="1:33" s="333" customFormat="1" ht="13.5" customHeight="1">
      <c r="A28" s="962" t="s">
        <v>2507</v>
      </c>
      <c r="B28" s="2559" t="s">
        <v>2508</v>
      </c>
      <c r="C28" s="331">
        <f ca="1">C30</f>
        <v>450</v>
      </c>
      <c r="D28" s="324">
        <f ca="1">C29</f>
        <v>0</v>
      </c>
      <c r="E28" s="326" t="s">
        <v>15</v>
      </c>
      <c r="F28" s="332">
        <f ca="1">IF(C1="",'数据-取费表'!Q16,INDIRECT("'数据-取费表'!q"&amp;$K$1))</f>
        <v>0.22</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450</v>
      </c>
      <c r="D30" s="328"/>
      <c r="E30" s="329"/>
      <c r="F30" s="334"/>
      <c r="G30" s="140"/>
      <c r="H30" s="980"/>
      <c r="I30" s="980"/>
      <c r="J30" s="980"/>
      <c r="K30" s="981"/>
    </row>
    <row r="31" spans="1:33" s="976" customFormat="1" ht="13.5" customHeight="1" thickBot="1">
      <c r="A31" s="2560"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-2424</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9" sqref="D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2524</v>
      </c>
      <c r="B1" s="2562"/>
      <c r="C1" s="2562"/>
      <c r="D1" s="2562"/>
      <c r="E1" s="2563"/>
    </row>
    <row r="2" spans="1:6" ht="15.75">
      <c r="A2" s="2564" t="s">
        <v>2325</v>
      </c>
      <c r="B2" s="2565">
        <f ca="1">SUMIF(B6:B13,"&lt;&gt;#ref!",B6:B13)</f>
        <v>175140</v>
      </c>
      <c r="C2" s="2566" t="s">
        <v>2517</v>
      </c>
      <c r="D2" s="2567" t="s">
        <v>2518</v>
      </c>
      <c r="E2" s="2568">
        <f>SUM(E6:E13)</f>
        <v>49447.659999999996</v>
      </c>
    </row>
    <row r="3" spans="1:6" ht="15.75">
      <c r="A3" s="2564" t="s">
        <v>1395</v>
      </c>
      <c r="B3" s="2565">
        <f ca="1">ROUND(B2*10000/E2,0)</f>
        <v>35419</v>
      </c>
      <c r="C3" s="2566" t="s">
        <v>2525</v>
      </c>
      <c r="D3" s="2569"/>
      <c r="E3" s="2570"/>
    </row>
    <row r="4" spans="1:6" ht="15.75">
      <c r="A4" s="2571"/>
      <c r="B4" s="2569"/>
      <c r="C4" s="2569"/>
      <c r="D4" s="2569"/>
      <c r="E4" s="2570"/>
    </row>
    <row r="5" spans="1:6" ht="15">
      <c r="A5" s="2572" t="s">
        <v>2519</v>
      </c>
      <c r="B5" s="3156" t="s">
        <v>2520</v>
      </c>
      <c r="C5" s="3156"/>
      <c r="D5" s="2573"/>
      <c r="E5" s="2574" t="s">
        <v>2521</v>
      </c>
      <c r="F5" s="2575" t="s">
        <v>2522</v>
      </c>
    </row>
    <row r="6" spans="1:6">
      <c r="A6" s="2576" t="str">
        <f>'数据-取费表'!AN6</f>
        <v>收益法-车库</v>
      </c>
      <c r="B6" s="2575">
        <f ca="1">IF(F6="是",'数据-取费表'!AO6,0)</f>
        <v>2405</v>
      </c>
      <c r="C6" s="2566" t="s">
        <v>2517</v>
      </c>
      <c r="D6" s="2569"/>
      <c r="E6" s="2577">
        <f>IF(OR(A6=0,F6="否"),0,'数据-取费表'!K6+'数据-取费表'!S6)</f>
        <v>6074.74</v>
      </c>
      <c r="F6" s="2578" t="s">
        <v>2523</v>
      </c>
    </row>
    <row r="7" spans="1:6">
      <c r="A7" s="2576" t="str">
        <f>'数据-取费表'!AN7</f>
        <v>收益法-酒店</v>
      </c>
      <c r="B7" s="2575">
        <f ca="1">IF(F7="是",'数据-取费表'!AO7,0)</f>
        <v>24229</v>
      </c>
      <c r="C7" s="2566" t="s">
        <v>2517</v>
      </c>
      <c r="D7" s="2569"/>
      <c r="E7" s="2577">
        <f>IF(OR(A7=0,F7="否"),0,'数据-取费表'!K7+'数据-取费表'!S7)</f>
        <v>21099.64</v>
      </c>
      <c r="F7" s="2578" t="s">
        <v>2523</v>
      </c>
    </row>
    <row r="8" spans="1:6">
      <c r="A8" s="2576" t="str">
        <f>'数据-取费表'!AN8</f>
        <v>收益法-办公出租</v>
      </c>
      <c r="B8" s="2575">
        <f ca="1">IF(F8="是",'数据-取费表'!AO8,0)</f>
        <v>108897</v>
      </c>
      <c r="C8" s="2566" t="s">
        <v>2517</v>
      </c>
      <c r="D8" s="2569"/>
      <c r="E8" s="2577">
        <f>IF(OR(A8=0,F8="否"),0,'数据-取费表'!K8+'数据-取费表'!S8)</f>
        <v>16409.68</v>
      </c>
      <c r="F8" s="2578" t="s">
        <v>2523</v>
      </c>
    </row>
    <row r="9" spans="1:6">
      <c r="A9" s="2576" t="str">
        <f>'数据-取费表'!AN9</f>
        <v>收益法-办公未出租</v>
      </c>
      <c r="B9" s="2575">
        <f ca="1">IF(F9="是",'数据-取费表'!AO9,0)</f>
        <v>39609</v>
      </c>
      <c r="C9" s="2566" t="s">
        <v>2517</v>
      </c>
      <c r="D9" s="2569"/>
      <c r="E9" s="2577">
        <f>IF(OR(A9=0,F9="否"),0,'数据-取费表'!K9+'数据-取费表'!S9)</f>
        <v>5863.5999999999985</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3297</v>
      </c>
      <c r="D1" s="1821" t="s">
        <v>70</v>
      </c>
      <c r="E1" s="1822" t="s">
        <v>1387</v>
      </c>
      <c r="F1" s="1284">
        <f ca="1">J53</f>
        <v>38.15</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39609</v>
      </c>
      <c r="C2" s="1846" t="s">
        <v>1516</v>
      </c>
      <c r="D2" s="1846"/>
      <c r="E2" s="1847"/>
      <c r="F2" s="1848"/>
      <c r="G2" s="1849"/>
      <c r="H2" s="1841"/>
      <c r="I2" s="1841"/>
      <c r="J2" s="1841"/>
      <c r="K2" s="1842"/>
      <c r="L2" s="1841"/>
      <c r="M2" s="1841"/>
    </row>
    <row r="3" spans="1:37" ht="18" customHeight="1" thickBot="1">
      <c r="A3" s="1850" t="s">
        <v>1517</v>
      </c>
      <c r="B3" s="1851">
        <f ca="1">IF(ISERROR(B2*10000/F43),0,ROUND(B2*10000/F43,0))</f>
        <v>67551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1928</v>
      </c>
      <c r="D5" s="1823" t="s">
        <v>1402</v>
      </c>
      <c r="E5" s="1294"/>
      <c r="F5" s="1295"/>
      <c r="G5" s="1852"/>
      <c r="H5" s="344">
        <v>1</v>
      </c>
      <c r="I5" s="345" t="s">
        <v>1401</v>
      </c>
      <c r="J5" s="1293">
        <f ca="1">J6+J10+J12</f>
        <v>0</v>
      </c>
      <c r="K5" s="1823" t="s">
        <v>1402</v>
      </c>
      <c r="L5" s="1294"/>
      <c r="M5" s="1295"/>
    </row>
    <row r="6" spans="1:37" ht="18" customHeight="1">
      <c r="A6" s="1292" t="s">
        <v>1035</v>
      </c>
      <c r="B6" s="3153" t="s">
        <v>1403</v>
      </c>
      <c r="C6" s="1297">
        <f ca="1">ROUND(F6*F8*F7*(1-F9)/10000,0)</f>
        <v>1926</v>
      </c>
      <c r="D6" s="164" t="s">
        <v>3030</v>
      </c>
      <c r="E6" s="347" t="s">
        <v>1405</v>
      </c>
      <c r="F6" s="348">
        <f ca="1">INDIRECT("'数据-取费表'!u"&amp;$G$1)</f>
        <v>10</v>
      </c>
      <c r="G6" s="1852"/>
      <c r="H6" s="1292" t="s">
        <v>1035</v>
      </c>
      <c r="I6" s="3153" t="s">
        <v>1403</v>
      </c>
      <c r="J6" s="346">
        <f ca="1">ROUND(M6*M8*M7*(1-M9)/10000,0)</f>
        <v>0</v>
      </c>
      <c r="K6" s="164" t="s">
        <v>3029</v>
      </c>
      <c r="L6" s="347" t="s">
        <v>1405</v>
      </c>
      <c r="M6" s="348">
        <f ca="1">INDIRECT("'数据-取费表'!z"&amp;$G$1)</f>
        <v>0</v>
      </c>
    </row>
    <row r="7" spans="1:37" ht="18" customHeight="1">
      <c r="A7" s="1296"/>
      <c r="B7" s="3154"/>
      <c r="C7" s="1298"/>
      <c r="D7" s="352"/>
      <c r="E7" s="2953" t="s">
        <v>1406</v>
      </c>
      <c r="F7" s="348">
        <f ca="1">IF(INDIRECT("'数据-取费表'!ah"&amp;$G$1)="",INDIRECT("'数据-取费表'!k"&amp;$G$1),INDIRECT("'数据-取费表'!ah"&amp;$G$1))</f>
        <v>5863.5999999999985</v>
      </c>
      <c r="G7" s="1852"/>
      <c r="H7" s="349"/>
      <c r="I7" s="3154"/>
      <c r="J7" s="351"/>
      <c r="K7" s="352"/>
      <c r="L7" s="347" t="s">
        <v>1406</v>
      </c>
      <c r="M7" s="348">
        <f ca="1">F7</f>
        <v>5863.5999999999985</v>
      </c>
    </row>
    <row r="8" spans="1:37" ht="18" customHeight="1">
      <c r="A8" s="349"/>
      <c r="B8" s="3154"/>
      <c r="C8" s="351"/>
      <c r="D8" s="352"/>
      <c r="E8" s="347" t="s">
        <v>1407</v>
      </c>
      <c r="F8" s="348">
        <f ca="1">INDIRECT("'数据-取费表'!ai"&amp;$G$1)</f>
        <v>365</v>
      </c>
      <c r="G8" s="1852"/>
      <c r="H8" s="349"/>
      <c r="I8" s="3154"/>
      <c r="J8" s="351"/>
      <c r="K8" s="352"/>
      <c r="L8" s="347" t="s">
        <v>1407</v>
      </c>
      <c r="M8" s="348">
        <f ca="1">INDIRECT("'数据-取费表'!ai"&amp;$G$1)</f>
        <v>365</v>
      </c>
    </row>
    <row r="9" spans="1:37" ht="18" customHeight="1">
      <c r="A9" s="349"/>
      <c r="B9" s="3155"/>
      <c r="C9" s="351"/>
      <c r="D9" s="352"/>
      <c r="E9" s="347" t="s">
        <v>1408</v>
      </c>
      <c r="F9" s="357">
        <f ca="1">INDIRECT("'数据-取费表'!w"&amp;$G$1)</f>
        <v>0.1</v>
      </c>
      <c r="G9" s="1852"/>
      <c r="H9" s="349"/>
      <c r="I9" s="3155"/>
      <c r="J9" s="351"/>
      <c r="K9" s="352"/>
      <c r="L9" s="358" t="s">
        <v>1408</v>
      </c>
      <c r="M9" s="359">
        <f ca="1">INDIRECT("'数据-取费表'!ab"&amp;$G$1)</f>
        <v>0</v>
      </c>
    </row>
    <row r="10" spans="1:37" ht="18" customHeight="1">
      <c r="A10" s="1292" t="s">
        <v>1039</v>
      </c>
      <c r="B10" s="1824" t="s">
        <v>1409</v>
      </c>
      <c r="C10" s="361">
        <f ca="1">ROUND(IF(F10="押一",C6/12*F11,IF(F10="押二",C6/12*2*F11,IF(F10="押三",C6/12*3*F11,C11*F11))),0)</f>
        <v>2</v>
      </c>
      <c r="D10" s="1825" t="s">
        <v>3038</v>
      </c>
      <c r="E10" s="358" t="s">
        <v>1410</v>
      </c>
      <c r="F10" s="1367" t="s">
        <v>3299</v>
      </c>
      <c r="G10" s="1852"/>
      <c r="H10" s="1292" t="s">
        <v>1039</v>
      </c>
      <c r="I10" s="1824" t="s">
        <v>1409</v>
      </c>
      <c r="J10" s="346">
        <f ca="1">ROUND(IF(M10="押一",J6/12*M11,IF(M10="押二",J6/12*2*M11,IF(M10="押三",J6/12*3*M11,J11*M11))),0)</f>
        <v>0</v>
      </c>
      <c r="K10" s="1825" t="s">
        <v>3038</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2052</v>
      </c>
      <c r="D14" s="2944" t="s">
        <v>1418</v>
      </c>
      <c r="E14" s="2942"/>
      <c r="F14" s="364"/>
      <c r="G14" s="1852"/>
      <c r="H14" s="1202" t="s">
        <v>1035</v>
      </c>
      <c r="I14" s="347" t="s">
        <v>1419</v>
      </c>
      <c r="J14" s="24">
        <f ca="1">C29</f>
        <v>3121</v>
      </c>
      <c r="K14" s="2952"/>
      <c r="L14" s="980"/>
      <c r="M14" s="981"/>
    </row>
    <row r="15" spans="1:37" s="1859" customFormat="1" ht="18" customHeight="1" thickBot="1">
      <c r="A15" s="1202" t="s">
        <v>1036</v>
      </c>
      <c r="B15" s="347" t="s">
        <v>1420</v>
      </c>
      <c r="C15" s="24">
        <f ca="1">ROUND(C14*F15,0)</f>
        <v>62</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74</v>
      </c>
      <c r="K16" s="1338" t="s">
        <v>1425</v>
      </c>
      <c r="L16" s="2946"/>
      <c r="M16" s="1295"/>
    </row>
    <row r="17" spans="1:37" s="1859" customFormat="1" ht="18" customHeight="1">
      <c r="A17" s="1202" t="s">
        <v>1390</v>
      </c>
      <c r="B17" s="347" t="s">
        <v>1426</v>
      </c>
      <c r="C17" s="24">
        <f ca="1">ROUND(F17*(F43+INDIRECT("'数据-取费表'!S"&amp;$G$1))/10000,0)</f>
        <v>117</v>
      </c>
      <c r="D17" s="347" t="s">
        <v>1427</v>
      </c>
      <c r="E17" s="347" t="s">
        <v>1428</v>
      </c>
      <c r="F17" s="26">
        <f>'数据-取费表'!B35</f>
        <v>200</v>
      </c>
      <c r="G17" s="1855"/>
      <c r="H17" s="1202" t="s">
        <v>1035</v>
      </c>
      <c r="I17" s="347" t="s">
        <v>1429</v>
      </c>
      <c r="J17" s="24">
        <f ca="1">ROUND(IF(项目基本情况!B11="自然人",J5*M17,J18+J19+J20),1)</f>
        <v>27</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31</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2262</v>
      </c>
      <c r="D19" s="140" t="s">
        <v>1436</v>
      </c>
      <c r="E19" s="2951"/>
      <c r="F19" s="26"/>
      <c r="G19" s="1852"/>
      <c r="H19" s="1202" t="s">
        <v>1036</v>
      </c>
      <c r="I19" s="347" t="s">
        <v>1437</v>
      </c>
      <c r="J19" s="24">
        <f ca="1">IF(K19="按租金收入计税",ROUND(J5*M19,2),ROUND(C29*M19*0.7,2))</f>
        <v>26.22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45</v>
      </c>
      <c r="D20" s="369" t="s">
        <v>1440</v>
      </c>
      <c r="E20" s="347" t="s">
        <v>1422</v>
      </c>
      <c r="F20" s="367">
        <f>'数据-取费表'!B37</f>
        <v>0.02</v>
      </c>
      <c r="G20" s="1855"/>
      <c r="H20" s="1202" t="s">
        <v>1389</v>
      </c>
      <c r="I20" s="164" t="s">
        <v>1441</v>
      </c>
      <c r="J20" s="25">
        <f ca="1">ROUND(M20*M21/10000,2)</f>
        <v>0.73</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612.47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46.8</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109</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-74</v>
      </c>
      <c r="K25" s="1346" t="s">
        <v>1464</v>
      </c>
      <c r="L25" s="1347"/>
      <c r="M25" s="1348"/>
    </row>
    <row r="26" spans="1:37">
      <c r="A26" s="1202" t="s">
        <v>1034</v>
      </c>
      <c r="B26" s="347" t="s">
        <v>1465</v>
      </c>
      <c r="C26" s="24">
        <f ca="1">ROUND((C19+C20)*F26,0)</f>
        <v>461</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2"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3121</v>
      </c>
      <c r="D29" s="1343"/>
      <c r="E29" s="1341"/>
      <c r="F29" s="1344"/>
      <c r="G29" s="1855"/>
      <c r="H29" s="380" t="s">
        <v>1033</v>
      </c>
      <c r="I29" s="381" t="s">
        <v>1479</v>
      </c>
      <c r="J29" s="382">
        <f ca="1">ROUND(J26/(1+F40)^F41,0)</f>
        <v>0</v>
      </c>
      <c r="K29" s="383" t="s">
        <v>1480</v>
      </c>
      <c r="L29" s="384"/>
      <c r="M29" s="385">
        <f ca="1">INDIRECT("'数据-取费表'!k"&amp;$G$1)</f>
        <v>5863.5999999999985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401</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334.9</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102.83</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231.36</v>
      </c>
      <c r="D33" s="1829" t="s">
        <v>3083</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0.73</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612.47</v>
      </c>
      <c r="G35" s="1852"/>
      <c r="H35" s="745"/>
      <c r="I35" s="1861"/>
      <c r="J35" s="1862"/>
      <c r="K35" s="1863"/>
      <c r="L35" s="1860"/>
      <c r="M35" s="1860"/>
    </row>
    <row r="36" spans="1:18" ht="18" customHeight="1">
      <c r="A36" s="1353" t="s">
        <v>1039</v>
      </c>
      <c r="B36" s="347" t="s">
        <v>1449</v>
      </c>
      <c r="C36" s="24">
        <f ca="1">ROUND(C29*F36,1)</f>
        <v>46.8</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0</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19.3</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1527</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39562</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3.5000000000000003E-2</v>
      </c>
      <c r="G42" s="1852"/>
      <c r="H42" s="732"/>
      <c r="I42" s="1861"/>
      <c r="J42" s="1862"/>
      <c r="K42" s="751"/>
      <c r="L42" s="732"/>
      <c r="M42" s="732"/>
    </row>
    <row r="43" spans="1:18" ht="18" customHeight="1" thickBot="1">
      <c r="A43" s="380" t="s">
        <v>1033</v>
      </c>
      <c r="B43" s="381" t="s">
        <v>1487</v>
      </c>
      <c r="C43" s="382">
        <f ca="1">ROUND(C40*10000/F43,0)</f>
        <v>67470</v>
      </c>
      <c r="D43" s="383" t="s">
        <v>1488</v>
      </c>
      <c r="E43" s="384" t="s">
        <v>1489</v>
      </c>
      <c r="F43" s="385">
        <f ca="1">INDIRECT("'数据-取费表'!k"&amp;$G$1)</f>
        <v>5863.5999999999985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-44467</v>
      </c>
      <c r="D46" s="1873" t="str">
        <f>C2</f>
        <v>万元</v>
      </c>
      <c r="E46" s="1867"/>
      <c r="F46" s="1867"/>
      <c r="I46" s="1874" t="s">
        <v>1521</v>
      </c>
      <c r="J46" s="1875"/>
      <c r="K46" s="1876"/>
      <c r="L46" s="1877">
        <f ca="1">IF(M47="住宅",0,IF(L48&gt;J51,L60,J60))</f>
        <v>47</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2"/>
      <c r="I47" s="1881" t="s">
        <v>1526</v>
      </c>
      <c r="J47" s="1882" t="s">
        <v>3084</v>
      </c>
      <c r="K47" s="1883" t="s">
        <v>1527</v>
      </c>
      <c r="L47" s="1884">
        <f ca="1">INDIRECT("'数据-取费表'!d"&amp;$G$1)</f>
        <v>50</v>
      </c>
      <c r="M47" s="1839" t="str">
        <f>IF(ISNUMBER(FIND("住宅",C1)),"住宅","非住宅")</f>
        <v>非住宅</v>
      </c>
      <c r="O47" s="1885" t="s">
        <v>1040</v>
      </c>
      <c r="P47" s="1886" t="s">
        <v>1528</v>
      </c>
      <c r="Q47" s="1887">
        <f ca="1">C40+J29</f>
        <v>39562</v>
      </c>
      <c r="R47" s="1887" t="s">
        <v>1529</v>
      </c>
    </row>
    <row r="48" spans="1:18" s="1843" customFormat="1" ht="28.5" thickBot="1">
      <c r="A48" s="1361" t="s">
        <v>1135</v>
      </c>
      <c r="B48" s="345" t="s">
        <v>1401</v>
      </c>
      <c r="C48" s="2950">
        <f ca="1">C49+C53+C55</f>
        <v>0</v>
      </c>
      <c r="D48" s="1363"/>
      <c r="E48" s="1364"/>
      <c r="F48" s="1182"/>
      <c r="G48" s="792"/>
      <c r="H48" s="793"/>
      <c r="I48" s="1888" t="s">
        <v>1530</v>
      </c>
      <c r="J48" s="1889" t="s">
        <v>3085</v>
      </c>
      <c r="K48" s="1890" t="s">
        <v>1531</v>
      </c>
      <c r="L48" s="1891">
        <f ca="1">INDIRECT("'数据-取费表'!f"&amp;$G$1)</f>
        <v>38.15</v>
      </c>
      <c r="O48" s="1885" t="s">
        <v>1041</v>
      </c>
      <c r="P48" s="1886" t="s">
        <v>1532</v>
      </c>
      <c r="Q48" s="1887">
        <f ca="1">J60</f>
        <v>47</v>
      </c>
      <c r="R48" s="1887" t="s">
        <v>1533</v>
      </c>
    </row>
    <row r="49" spans="1:18" s="1843" customFormat="1" ht="13.5" thickBot="1">
      <c r="A49" s="1195" t="s">
        <v>1136</v>
      </c>
      <c r="B49" s="1830" t="s">
        <v>1490</v>
      </c>
      <c r="C49" s="1365">
        <f ca="1">ROUND(F49*F51*F50*(1-F52)/10000,0)</f>
        <v>0</v>
      </c>
      <c r="D49" s="1277" t="s">
        <v>3029</v>
      </c>
      <c r="E49" s="1831" t="s">
        <v>1491</v>
      </c>
      <c r="F49" s="1282"/>
      <c r="G49" s="1892"/>
      <c r="H49" s="793"/>
      <c r="I49" s="1888" t="s">
        <v>1534</v>
      </c>
      <c r="J49" s="1893">
        <v>2014</v>
      </c>
      <c r="K49" s="1890" t="s">
        <v>1535</v>
      </c>
      <c r="L49" s="1894"/>
      <c r="O49" s="1895" t="s">
        <v>1042</v>
      </c>
      <c r="P49" s="1886" t="s">
        <v>1536</v>
      </c>
      <c r="Q49" s="1887">
        <f ca="1">C29</f>
        <v>3121</v>
      </c>
      <c r="R49" s="1887" t="s">
        <v>1529</v>
      </c>
    </row>
    <row r="50" spans="1:18" s="1843" customFormat="1" ht="13.5" thickBot="1">
      <c r="A50" s="1196"/>
      <c r="B50" s="1199"/>
      <c r="C50" s="1369"/>
      <c r="D50" s="1173"/>
      <c r="E50" s="1278" t="s">
        <v>1406</v>
      </c>
      <c r="F50" s="1279">
        <f ca="1">F7</f>
        <v>5863.5999999999985</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25792</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24.75" thickBot="1">
      <c r="A53" s="1406" t="s">
        <v>1137</v>
      </c>
      <c r="B53" s="1832" t="s">
        <v>1409</v>
      </c>
      <c r="C53" s="361">
        <f ca="1">ROUND(IF(F53="押一",C49/12*F11,IF(F53="押二",C49/12*2*F11,IF(F53="押三",C49/12*3*F11,C54*F11))),0)</f>
        <v>0</v>
      </c>
      <c r="D53" s="1825" t="s">
        <v>3038</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151" t="s">
        <v>1548</v>
      </c>
      <c r="L53" s="3152"/>
      <c r="O53" s="1885" t="s">
        <v>1046</v>
      </c>
      <c r="P53" s="1886" t="s">
        <v>1549</v>
      </c>
      <c r="Q53" s="1887">
        <f ca="1">Q47+Q48</f>
        <v>39609</v>
      </c>
      <c r="R53" s="1887" t="s">
        <v>1047</v>
      </c>
    </row>
    <row r="54" spans="1:18" s="1843" customFormat="1" ht="13.5"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0</v>
      </c>
      <c r="D56" s="1915"/>
      <c r="E56" s="1916"/>
      <c r="F56" s="1908"/>
      <c r="I56" s="1917" t="s">
        <v>1554</v>
      </c>
      <c r="J56" s="1918" t="s">
        <v>3086</v>
      </c>
      <c r="K56" s="1888" t="s">
        <v>1555</v>
      </c>
      <c r="L56" s="1891" t="str">
        <f ca="1">IF(L48&lt;J51,"——",L48-J53)</f>
        <v>——</v>
      </c>
      <c r="O56" s="1885" t="s">
        <v>1040</v>
      </c>
      <c r="P56" s="1886" t="s">
        <v>1528</v>
      </c>
      <c r="Q56" s="1887">
        <f ca="1">C40+J29</f>
        <v>39562</v>
      </c>
      <c r="R56" s="1887" t="s">
        <v>1529</v>
      </c>
    </row>
    <row r="57" spans="1:18" s="1843" customFormat="1" ht="24.75" thickBot="1">
      <c r="A57" s="1919"/>
      <c r="B57" s="1170" t="s">
        <v>1478</v>
      </c>
      <c r="C57" s="282">
        <f ca="1">C29</f>
        <v>3121</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310</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262.89999999999998</v>
      </c>
      <c r="D59" s="1183" t="s">
        <v>1430</v>
      </c>
      <c r="E59" s="1184" t="s">
        <v>1431</v>
      </c>
      <c r="F59" s="368" t="str">
        <f ca="1">IF(项目基本情况!B11="企业","",IF(INDIRECT("'数据-取费表'!c"&amp;$G$1)="住宅",5%,IF(F49*F50*F51/12/(1+'数据-取费表'!C42)&gt;20000,12%,7%)))</f>
        <v/>
      </c>
      <c r="I59" s="1923" t="s">
        <v>1563</v>
      </c>
      <c r="J59" s="1924">
        <f ca="1">IF(OR(M47="住宅",J51&lt;L48,J56="是"),"——",ROUND(C29*J58,0))</f>
        <v>1248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47</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262.16000000000003</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0.73</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39562</v>
      </c>
      <c r="R62" s="1887" t="s">
        <v>1047</v>
      </c>
    </row>
    <row r="63" spans="1:18" s="1843" customFormat="1" ht="13.5" thickBot="1">
      <c r="A63" s="372"/>
      <c r="B63" s="1176"/>
      <c r="C63" s="29"/>
      <c r="D63" s="1186"/>
      <c r="E63" s="1170" t="s">
        <v>1447</v>
      </c>
      <c r="F63" s="348">
        <f t="shared" ca="1" si="0"/>
        <v>612.47</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46.8</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1422</v>
      </c>
      <c r="F65" s="376">
        <f t="shared" ca="1" si="0"/>
        <v>1.5E-3</v>
      </c>
      <c r="I65" s="1930" t="s">
        <v>1579</v>
      </c>
      <c r="J65" s="1931">
        <v>40</v>
      </c>
      <c r="K65" s="1931">
        <v>30</v>
      </c>
      <c r="L65" s="1931">
        <v>50</v>
      </c>
      <c r="M65" s="1933">
        <v>0.02</v>
      </c>
      <c r="O65" s="1885" t="s">
        <v>1040</v>
      </c>
      <c r="P65" s="1886" t="s">
        <v>1528</v>
      </c>
      <c r="Q65" s="1887">
        <f ca="1">C40+J29</f>
        <v>39562</v>
      </c>
      <c r="R65" s="1887" t="s">
        <v>1529</v>
      </c>
    </row>
    <row r="66" spans="1:18" s="1843" customFormat="1" ht="16.5"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16.5" thickBot="1">
      <c r="A67" s="1177" t="s">
        <v>1031</v>
      </c>
      <c r="B67" s="1187" t="s">
        <v>1463</v>
      </c>
      <c r="C67" s="361">
        <f ca="1">C48-C58</f>
        <v>-310</v>
      </c>
      <c r="D67" s="1183" t="s">
        <v>1464</v>
      </c>
      <c r="E67" s="1188"/>
      <c r="F67" s="1189"/>
      <c r="O67" s="1895" t="s">
        <v>1042</v>
      </c>
      <c r="P67" s="1886" t="s">
        <v>1562</v>
      </c>
      <c r="Q67" s="1934">
        <f ca="1">L51</f>
        <v>25792</v>
      </c>
      <c r="R67" s="1887" t="s">
        <v>1582</v>
      </c>
    </row>
    <row r="68" spans="1:18" s="1843" customFormat="1" ht="16.5" thickBot="1">
      <c r="A68" s="1167" t="s">
        <v>1032</v>
      </c>
      <c r="B68" s="1168" t="s">
        <v>1485</v>
      </c>
      <c r="C68" s="346">
        <f ca="1">ROUND(C67*(1-((1+F70)/(1+F68))^F69)/(F68-F70),0)</f>
        <v>-4905</v>
      </c>
      <c r="D68" s="1185" t="s">
        <v>1469</v>
      </c>
      <c r="E68" s="1170" t="s">
        <v>1470</v>
      </c>
      <c r="F68" s="357">
        <f ca="1">F40</f>
        <v>5.5E-2</v>
      </c>
      <c r="O68" s="1895" t="s">
        <v>1043</v>
      </c>
      <c r="P68" s="1935" t="s">
        <v>1583</v>
      </c>
      <c r="Q68" s="1887">
        <f ca="1">ROUND(Q69-Q70*Q71,0)</f>
        <v>1527</v>
      </c>
      <c r="R68" s="1887" t="s">
        <v>1051</v>
      </c>
    </row>
    <row r="69" spans="1:18" s="1843" customFormat="1" ht="13.5" thickBot="1">
      <c r="A69" s="1171"/>
      <c r="B69" s="1172"/>
      <c r="C69" s="351"/>
      <c r="D69" s="1190" t="s">
        <v>1473</v>
      </c>
      <c r="E69" s="1170" t="s">
        <v>1474</v>
      </c>
      <c r="F69" s="379">
        <f ca="1">F41</f>
        <v>38.15</v>
      </c>
      <c r="O69" s="1895" t="s">
        <v>1048</v>
      </c>
      <c r="P69" s="1935" t="s">
        <v>1584</v>
      </c>
      <c r="Q69" s="1887">
        <f ca="1">C39</f>
        <v>1527</v>
      </c>
      <c r="R69" s="1887" t="s">
        <v>1529</v>
      </c>
    </row>
    <row r="70" spans="1:18" s="1843" customFormat="1" ht="13.5" thickBot="1">
      <c r="A70" s="1174"/>
      <c r="B70" s="1175"/>
      <c r="C70" s="355"/>
      <c r="D70" s="1186"/>
      <c r="E70" s="1170" t="s">
        <v>1477</v>
      </c>
      <c r="F70" s="1276"/>
      <c r="O70" s="1895" t="s">
        <v>1049</v>
      </c>
      <c r="P70" s="1935" t="s">
        <v>1585</v>
      </c>
      <c r="Q70" s="1887">
        <f ca="1">C13</f>
        <v>0</v>
      </c>
      <c r="R70" s="1887" t="s">
        <v>1529</v>
      </c>
    </row>
    <row r="71" spans="1:18" s="1843" customFormat="1" ht="13.5" thickBot="1">
      <c r="A71" s="1191" t="s">
        <v>1033</v>
      </c>
      <c r="B71" s="1192" t="s">
        <v>1487</v>
      </c>
      <c r="C71" s="382">
        <f ca="1">ROUND(C68*10000/F71,0)</f>
        <v>-8365</v>
      </c>
      <c r="D71" s="1193" t="s">
        <v>1488</v>
      </c>
      <c r="E71" s="1194" t="s">
        <v>1489</v>
      </c>
      <c r="F71" s="385">
        <f ca="1">F43</f>
        <v>5863.5999999999985</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f ca="1">Q65+Q66</f>
        <v>39562</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 priority="1">
      <formula>$L$48&gt;$J$51</formula>
    </cfRule>
  </conditionalFormatting>
  <conditionalFormatting sqref="I55 I60">
    <cfRule type="expression" dxfId="0"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3087</v>
      </c>
      <c r="D1" s="1821" t="s">
        <v>70</v>
      </c>
      <c r="E1" s="1822" t="s">
        <v>1387</v>
      </c>
      <c r="F1" s="1284">
        <f ca="1">J53</f>
        <v>38.15</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108897</v>
      </c>
      <c r="C2" s="1846" t="s">
        <v>1516</v>
      </c>
      <c r="D2" s="1846"/>
      <c r="E2" s="1847"/>
      <c r="F2" s="1848"/>
      <c r="G2" s="1849"/>
      <c r="H2" s="1841"/>
      <c r="I2" s="1841"/>
      <c r="J2" s="1841"/>
      <c r="K2" s="1842"/>
      <c r="L2" s="1841"/>
      <c r="M2" s="1841"/>
    </row>
    <row r="3" spans="1:37" ht="18" customHeight="1" thickBot="1">
      <c r="A3" s="1850" t="s">
        <v>1517</v>
      </c>
      <c r="B3" s="1851">
        <f ca="1">IF(ISERROR(B2*10000/F43),0,ROUND(B2*10000/F43,0))</f>
        <v>66361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4852</v>
      </c>
      <c r="D5" s="1823" t="s">
        <v>1402</v>
      </c>
      <c r="E5" s="1294"/>
      <c r="F5" s="1295"/>
      <c r="G5" s="1852"/>
      <c r="H5" s="344">
        <v>1</v>
      </c>
      <c r="I5" s="345" t="s">
        <v>1401</v>
      </c>
      <c r="J5" s="1293">
        <f ca="1">J6+J10+J12</f>
        <v>6423</v>
      </c>
      <c r="K5" s="1823" t="s">
        <v>1402</v>
      </c>
      <c r="L5" s="1294"/>
      <c r="M5" s="1295"/>
    </row>
    <row r="6" spans="1:37" ht="18" customHeight="1">
      <c r="A6" s="1292" t="s">
        <v>1035</v>
      </c>
      <c r="B6" s="3153" t="s">
        <v>1403</v>
      </c>
      <c r="C6" s="1297">
        <f ca="1">ROUND(F6*F8*F7*(1-F9)/10000,0)</f>
        <v>4852</v>
      </c>
      <c r="D6" s="164" t="s">
        <v>3030</v>
      </c>
      <c r="E6" s="347" t="s">
        <v>1405</v>
      </c>
      <c r="F6" s="348">
        <f ca="1">INDIRECT("'数据-取费表'!u"&amp;$G$1)</f>
        <v>8.1</v>
      </c>
      <c r="G6" s="1852"/>
      <c r="H6" s="1292" t="s">
        <v>1035</v>
      </c>
      <c r="I6" s="3153" t="s">
        <v>1403</v>
      </c>
      <c r="J6" s="346">
        <f ca="1">ROUND(M6*M8*M7*(1-M9)/10000,0)</f>
        <v>6415</v>
      </c>
      <c r="K6" s="164" t="s">
        <v>3029</v>
      </c>
      <c r="L6" s="347" t="s">
        <v>1405</v>
      </c>
      <c r="M6" s="348">
        <f ca="1">INDIRECT("'数据-取费表'!z"&amp;$G$1)</f>
        <v>11.9</v>
      </c>
    </row>
    <row r="7" spans="1:37" ht="18" customHeight="1">
      <c r="A7" s="1296"/>
      <c r="B7" s="3154"/>
      <c r="C7" s="1298"/>
      <c r="D7" s="352"/>
      <c r="E7" s="2953" t="s">
        <v>1406</v>
      </c>
      <c r="F7" s="348">
        <f ca="1">IF(INDIRECT("'数据-取费表'!ah"&amp;$G$1)="",INDIRECT("'数据-取费表'!k"&amp;$G$1),INDIRECT("'数据-取费表'!ah"&amp;$G$1))</f>
        <v>16409.68</v>
      </c>
      <c r="G7" s="1852"/>
      <c r="H7" s="349"/>
      <c r="I7" s="3154"/>
      <c r="J7" s="351"/>
      <c r="K7" s="352"/>
      <c r="L7" s="347" t="s">
        <v>1406</v>
      </c>
      <c r="M7" s="348">
        <f ca="1">F7</f>
        <v>16409.68</v>
      </c>
    </row>
    <row r="8" spans="1:37" ht="18" customHeight="1">
      <c r="A8" s="349"/>
      <c r="B8" s="3154"/>
      <c r="C8" s="351"/>
      <c r="D8" s="352"/>
      <c r="E8" s="347" t="s">
        <v>1407</v>
      </c>
      <c r="F8" s="348">
        <f ca="1">INDIRECT("'数据-取费表'!ai"&amp;$G$1)</f>
        <v>365</v>
      </c>
      <c r="G8" s="1852"/>
      <c r="H8" s="349"/>
      <c r="I8" s="3154"/>
      <c r="J8" s="351"/>
      <c r="K8" s="352"/>
      <c r="L8" s="347" t="s">
        <v>1407</v>
      </c>
      <c r="M8" s="348">
        <f ca="1">INDIRECT("'数据-取费表'!ai"&amp;$G$1)</f>
        <v>365</v>
      </c>
    </row>
    <row r="9" spans="1:37" ht="18" customHeight="1">
      <c r="A9" s="349"/>
      <c r="B9" s="3155"/>
      <c r="C9" s="351"/>
      <c r="D9" s="352"/>
      <c r="E9" s="347" t="s">
        <v>1408</v>
      </c>
      <c r="F9" s="357">
        <f ca="1">INDIRECT("'数据-取费表'!w"&amp;$G$1)</f>
        <v>0</v>
      </c>
      <c r="G9" s="1852"/>
      <c r="H9" s="349"/>
      <c r="I9" s="3155"/>
      <c r="J9" s="351"/>
      <c r="K9" s="352"/>
      <c r="L9" s="358" t="s">
        <v>1408</v>
      </c>
      <c r="M9" s="359">
        <f ca="1">INDIRECT("'数据-取费表'!ab"&amp;$G$1)</f>
        <v>0.1</v>
      </c>
    </row>
    <row r="10" spans="1:37" ht="18" customHeight="1">
      <c r="A10" s="1292" t="s">
        <v>1039</v>
      </c>
      <c r="B10" s="1824" t="s">
        <v>1409</v>
      </c>
      <c r="C10" s="361">
        <f ca="1">ROUND(IF(F10="押一",C6/12*F11,IF(F10="押二",C6/12*2*F11,IF(F10="押三",C6/12*3*F11,C11*F11))),0)</f>
        <v>0</v>
      </c>
      <c r="D10" s="1825" t="s">
        <v>3038</v>
      </c>
      <c r="E10" s="358" t="s">
        <v>1410</v>
      </c>
      <c r="F10" s="1367" t="s">
        <v>3082</v>
      </c>
      <c r="G10" s="1852"/>
      <c r="H10" s="1292" t="s">
        <v>1039</v>
      </c>
      <c r="I10" s="1824" t="s">
        <v>1409</v>
      </c>
      <c r="J10" s="346">
        <f ca="1">ROUND(IF(M10="押一",J6/12*M11,IF(M10="押二",J6/12*2*M11,IF(M10="押三",J6/12*3*M11,J11*M11))),0)</f>
        <v>8</v>
      </c>
      <c r="K10" s="1825" t="s">
        <v>3038</v>
      </c>
      <c r="L10" s="358" t="s">
        <v>1410</v>
      </c>
      <c r="M10" s="1367" t="s">
        <v>3299</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8155</v>
      </c>
      <c r="D13" s="1332" t="s">
        <v>1415</v>
      </c>
      <c r="E13" s="1332" t="s">
        <v>1416</v>
      </c>
      <c r="F13" s="1333">
        <f ca="1">INDIRECT("'数据-取费表'!y"&amp;$G$1)</f>
        <v>0.93333333333333335</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5743</v>
      </c>
      <c r="D14" s="2944" t="s">
        <v>1418</v>
      </c>
      <c r="E14" s="2942"/>
      <c r="F14" s="364"/>
      <c r="G14" s="1852"/>
      <c r="H14" s="1202" t="s">
        <v>1035</v>
      </c>
      <c r="I14" s="347" t="s">
        <v>1419</v>
      </c>
      <c r="J14" s="24">
        <f ca="1">C29</f>
        <v>8738</v>
      </c>
      <c r="K14" s="2952"/>
      <c r="L14" s="980"/>
      <c r="M14" s="981"/>
    </row>
    <row r="15" spans="1:37" s="1859" customFormat="1" ht="18" customHeight="1" thickBot="1">
      <c r="A15" s="1202" t="s">
        <v>1036</v>
      </c>
      <c r="B15" s="347" t="s">
        <v>1420</v>
      </c>
      <c r="C15" s="24">
        <f ca="1">ROUND(C14*F15,0)</f>
        <v>172</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1311</v>
      </c>
      <c r="K16" s="1338" t="s">
        <v>1425</v>
      </c>
      <c r="L16" s="2946"/>
      <c r="M16" s="1295"/>
    </row>
    <row r="17" spans="1:37" s="1859" customFormat="1" ht="18" customHeight="1">
      <c r="A17" s="1202" t="s">
        <v>1390</v>
      </c>
      <c r="B17" s="347" t="s">
        <v>1426</v>
      </c>
      <c r="C17" s="24">
        <f ca="1">ROUND(F17*(F43+INDIRECT("'数据-取费表'!S"&amp;$G$1))/10000,0)</f>
        <v>328</v>
      </c>
      <c r="D17" s="347" t="s">
        <v>1427</v>
      </c>
      <c r="E17" s="347" t="s">
        <v>1428</v>
      </c>
      <c r="F17" s="26">
        <f>'数据-取费表'!B35</f>
        <v>200</v>
      </c>
      <c r="G17" s="1855"/>
      <c r="H17" s="1202" t="s">
        <v>1035</v>
      </c>
      <c r="I17" s="347" t="s">
        <v>1429</v>
      </c>
      <c r="J17" s="24">
        <f ca="1">ROUND(IF(项目基本情况!B11="自然人",J5*M17,J18+J19+J20),1)</f>
        <v>1115.4000000000001</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86</v>
      </c>
      <c r="D18" s="347" t="s">
        <v>1421</v>
      </c>
      <c r="E18" s="347" t="s">
        <v>1422</v>
      </c>
      <c r="F18" s="367">
        <f>'数据-取费表'!B36</f>
        <v>1.4999999999999999E-2</v>
      </c>
      <c r="G18" s="1855"/>
      <c r="H18" s="1202" t="s">
        <v>1034</v>
      </c>
      <c r="I18" s="347" t="s">
        <v>1433</v>
      </c>
      <c r="J18" s="24">
        <f ca="1">ROUND(J5*M18/(1+'数据-取费表'!C42),2)</f>
        <v>342.56</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6329</v>
      </c>
      <c r="D19" s="140" t="s">
        <v>1436</v>
      </c>
      <c r="E19" s="2951"/>
      <c r="F19" s="26"/>
      <c r="G19" s="1852"/>
      <c r="H19" s="1202" t="s">
        <v>1036</v>
      </c>
      <c r="I19" s="347" t="s">
        <v>1437</v>
      </c>
      <c r="J19" s="24">
        <f ca="1">IF(K19="按租金收入计税",ROUND(J5*M19,2),ROUND(C29*M19*0.7,2))</f>
        <v>770.76</v>
      </c>
      <c r="K19" s="1829" t="s">
        <v>3083</v>
      </c>
      <c r="L19" s="347" t="s">
        <v>1422</v>
      </c>
      <c r="M19" s="367">
        <f>IF(K19="按租金收入计税",'数据-取费表'!B51,'数据-取费表'!B50)</f>
        <v>0.12</v>
      </c>
    </row>
    <row r="20" spans="1:37" s="1859" customFormat="1" ht="18" customHeight="1">
      <c r="A20" s="1202" t="s">
        <v>1039</v>
      </c>
      <c r="B20" s="347" t="s">
        <v>1439</v>
      </c>
      <c r="C20" s="24">
        <f ca="1">ROUND(C19*F20,0)</f>
        <v>127</v>
      </c>
      <c r="D20" s="369" t="s">
        <v>1440</v>
      </c>
      <c r="E20" s="347" t="s">
        <v>1422</v>
      </c>
      <c r="F20" s="367">
        <f>'数据-取费表'!B37</f>
        <v>0.02</v>
      </c>
      <c r="G20" s="1855"/>
      <c r="H20" s="1202" t="s">
        <v>1389</v>
      </c>
      <c r="I20" s="164" t="s">
        <v>1441</v>
      </c>
      <c r="J20" s="25">
        <f ca="1">ROUND(M20*M21/10000,2)</f>
        <v>2.06</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1714.03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131.1</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307</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64.2</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5112</v>
      </c>
      <c r="K25" s="1346" t="s">
        <v>1464</v>
      </c>
      <c r="L25" s="1347"/>
      <c r="M25" s="1348"/>
    </row>
    <row r="26" spans="1:37">
      <c r="A26" s="1202" t="s">
        <v>1034</v>
      </c>
      <c r="B26" s="347" t="s">
        <v>1465</v>
      </c>
      <c r="C26" s="24">
        <f ca="1">ROUND((C19+C20)*F26,0)</f>
        <v>1291</v>
      </c>
      <c r="D26" s="369" t="s">
        <v>1466</v>
      </c>
      <c r="E26" s="358" t="s">
        <v>1467</v>
      </c>
      <c r="F26" s="357">
        <f ca="1">INDIRECT("'数据-取费表'!q"&amp;$G$1)</f>
        <v>0.2</v>
      </c>
      <c r="G26" s="1852"/>
      <c r="H26" s="344" t="s">
        <v>1032</v>
      </c>
      <c r="I26" s="345" t="s">
        <v>1468</v>
      </c>
      <c r="J26" s="346">
        <f ca="1">IF(J5&lt;&gt;0,ROUND(J25*(1-((1+M28)/(1+M26))^M27)/(M26-M28),0),0)</f>
        <v>120051</v>
      </c>
      <c r="K26" s="370" t="s">
        <v>1469</v>
      </c>
      <c r="L26" s="347" t="s">
        <v>1470</v>
      </c>
      <c r="M26" s="357">
        <f ca="1">INDIRECT("'数据-取费表'!I"&amp;$G$1)</f>
        <v>5.5E-2</v>
      </c>
    </row>
    <row r="27" spans="1:37" ht="18" customHeight="1">
      <c r="A27" s="1202"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33.14</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3.5000000000000003E-2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8738</v>
      </c>
      <c r="D29" s="1343"/>
      <c r="E29" s="1341"/>
      <c r="F29" s="1344"/>
      <c r="G29" s="1855"/>
      <c r="H29" s="380" t="s">
        <v>1033</v>
      </c>
      <c r="I29" s="381" t="s">
        <v>1479</v>
      </c>
      <c r="J29" s="382">
        <f ca="1">ROUND(J26/(1+F40)^F41,0)</f>
        <v>91806</v>
      </c>
      <c r="K29" s="383" t="s">
        <v>1480</v>
      </c>
      <c r="L29" s="384"/>
      <c r="M29" s="385">
        <f ca="1">INDIRECT("'数据-取费表'!k"&amp;$G$1)</f>
        <v>16409.68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1035</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843.1</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258.77</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582.24</v>
      </c>
      <c r="D33" s="1829" t="s">
        <v>3083</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2.06</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1714.03</v>
      </c>
      <c r="G35" s="1852"/>
      <c r="H35" s="745"/>
      <c r="I35" s="1861"/>
      <c r="J35" s="1862"/>
      <c r="K35" s="1863"/>
      <c r="L35" s="1860"/>
      <c r="M35" s="1860"/>
    </row>
    <row r="36" spans="1:18" ht="18" customHeight="1">
      <c r="A36" s="1353" t="s">
        <v>1039</v>
      </c>
      <c r="B36" s="347" t="s">
        <v>1449</v>
      </c>
      <c r="C36" s="24">
        <f ca="1">ROUND(C29*F36,1)</f>
        <v>131.1</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12.2</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48.5</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3817</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16960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5.01</v>
      </c>
      <c r="G41" s="1852"/>
      <c r="H41" s="732"/>
      <c r="I41" s="1861"/>
      <c r="J41" s="1862"/>
      <c r="K41" s="751"/>
      <c r="L41" s="732"/>
      <c r="M41" s="732"/>
    </row>
    <row r="42" spans="1:18" ht="18" customHeight="1">
      <c r="A42" s="353"/>
      <c r="B42" s="354"/>
      <c r="C42" s="355"/>
      <c r="D42" s="373"/>
      <c r="E42" s="347" t="s">
        <v>1477</v>
      </c>
      <c r="F42" s="357">
        <f ca="1">INDIRECT("'数据-取费表'!v"&amp;$G$1)</f>
        <v>0.02</v>
      </c>
      <c r="G42" s="1852"/>
      <c r="H42" s="732"/>
      <c r="I42" s="1861"/>
      <c r="J42" s="1862"/>
      <c r="K42" s="751"/>
      <c r="L42" s="732"/>
      <c r="M42" s="732"/>
    </row>
    <row r="43" spans="1:18" ht="18" customHeight="1" thickBot="1">
      <c r="A43" s="380" t="s">
        <v>1033</v>
      </c>
      <c r="B43" s="381" t="s">
        <v>1487</v>
      </c>
      <c r="C43" s="382">
        <f ca="1">ROUND(C40*10000/F43,0)</f>
        <v>10335</v>
      </c>
      <c r="D43" s="383" t="s">
        <v>1488</v>
      </c>
      <c r="E43" s="384" t="s">
        <v>1489</v>
      </c>
      <c r="F43" s="385">
        <f ca="1">INDIRECT("'数据-取费表'!k"&amp;$G$1)</f>
        <v>16409.68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-20720</v>
      </c>
      <c r="D46" s="1873" t="str">
        <f>C2</f>
        <v>万元</v>
      </c>
      <c r="E46" s="1867"/>
      <c r="F46" s="1867"/>
      <c r="I46" s="1874" t="s">
        <v>1521</v>
      </c>
      <c r="J46" s="1875"/>
      <c r="K46" s="1876"/>
      <c r="L46" s="1877">
        <f ca="1">IF(M47="住宅",0,IF(L48&gt;J51,L60,J60))</f>
        <v>131</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2"/>
      <c r="I47" s="1881" t="s">
        <v>1526</v>
      </c>
      <c r="J47" s="1882" t="s">
        <v>3084</v>
      </c>
      <c r="K47" s="1883" t="s">
        <v>1527</v>
      </c>
      <c r="L47" s="1884">
        <f ca="1">INDIRECT("'数据-取费表'!d"&amp;$G$1)</f>
        <v>50</v>
      </c>
      <c r="M47" s="1839" t="str">
        <f>IF(ISNUMBER(FIND("住宅",C1)),"住宅","非住宅")</f>
        <v>非住宅</v>
      </c>
      <c r="O47" s="1885" t="s">
        <v>1040</v>
      </c>
      <c r="P47" s="1886" t="s">
        <v>1528</v>
      </c>
      <c r="Q47" s="1887">
        <f ca="1">C40+J29</f>
        <v>108766</v>
      </c>
      <c r="R47" s="1887" t="s">
        <v>1529</v>
      </c>
    </row>
    <row r="48" spans="1:18" s="1843" customFormat="1" ht="28.5" thickBot="1">
      <c r="A48" s="1361" t="s">
        <v>1135</v>
      </c>
      <c r="B48" s="345" t="s">
        <v>1401</v>
      </c>
      <c r="C48" s="2950">
        <f ca="1">C49+C53+C55</f>
        <v>0</v>
      </c>
      <c r="D48" s="1363"/>
      <c r="E48" s="1364"/>
      <c r="F48" s="1182"/>
      <c r="G48" s="792"/>
      <c r="H48" s="793"/>
      <c r="I48" s="1888" t="s">
        <v>1530</v>
      </c>
      <c r="J48" s="1889" t="s">
        <v>3085</v>
      </c>
      <c r="K48" s="1890" t="s">
        <v>1531</v>
      </c>
      <c r="L48" s="1891">
        <f ca="1">INDIRECT("'数据-取费表'!f"&amp;$G$1)</f>
        <v>38.15</v>
      </c>
      <c r="O48" s="1885" t="s">
        <v>1041</v>
      </c>
      <c r="P48" s="1886" t="s">
        <v>1532</v>
      </c>
      <c r="Q48" s="1887">
        <f ca="1">J60</f>
        <v>131</v>
      </c>
      <c r="R48" s="1887" t="s">
        <v>1533</v>
      </c>
    </row>
    <row r="49" spans="1:18" s="1843" customFormat="1" ht="13.5" thickBot="1">
      <c r="A49" s="1195" t="s">
        <v>1136</v>
      </c>
      <c r="B49" s="1830" t="s">
        <v>1490</v>
      </c>
      <c r="C49" s="1365">
        <f ca="1">ROUND(F49*F51*F50*(1-F52)/10000,0)</f>
        <v>0</v>
      </c>
      <c r="D49" s="1277" t="s">
        <v>3029</v>
      </c>
      <c r="E49" s="1831" t="s">
        <v>1491</v>
      </c>
      <c r="F49" s="1282"/>
      <c r="G49" s="1892"/>
      <c r="H49" s="793"/>
      <c r="I49" s="1888" t="s">
        <v>1534</v>
      </c>
      <c r="J49" s="1893">
        <v>2014</v>
      </c>
      <c r="K49" s="1890" t="s">
        <v>1535</v>
      </c>
      <c r="L49" s="1894"/>
      <c r="O49" s="1895" t="s">
        <v>1042</v>
      </c>
      <c r="P49" s="1886" t="s">
        <v>1536</v>
      </c>
      <c r="Q49" s="1887">
        <f ca="1">C29</f>
        <v>8738</v>
      </c>
      <c r="R49" s="1887" t="s">
        <v>1529</v>
      </c>
    </row>
    <row r="50" spans="1:18" s="1843" customFormat="1" ht="13.5" thickBot="1">
      <c r="A50" s="1196"/>
      <c r="B50" s="1199"/>
      <c r="C50" s="1369"/>
      <c r="D50" s="1173"/>
      <c r="E50" s="1278" t="s">
        <v>1406</v>
      </c>
      <c r="F50" s="1279">
        <f ca="1">F7</f>
        <v>16409.68</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52764</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24.75" thickBot="1">
      <c r="A53" s="1406" t="s">
        <v>1137</v>
      </c>
      <c r="B53" s="1832" t="s">
        <v>1409</v>
      </c>
      <c r="C53" s="361">
        <f ca="1">ROUND(IF(F53="押一",C49/12*F11,IF(F53="押二",C49/12*2*F11,IF(F53="押三",C49/12*3*F11,C54*F11))),0)</f>
        <v>0</v>
      </c>
      <c r="D53" s="1825" t="s">
        <v>3038</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151" t="s">
        <v>1548</v>
      </c>
      <c r="L53" s="3152"/>
      <c r="O53" s="1885" t="s">
        <v>1046</v>
      </c>
      <c r="P53" s="1886" t="s">
        <v>1549</v>
      </c>
      <c r="Q53" s="1887">
        <f ca="1">Q47+Q48</f>
        <v>108897</v>
      </c>
      <c r="R53" s="1887" t="s">
        <v>1047</v>
      </c>
    </row>
    <row r="54" spans="1:18" s="1843" customFormat="1" ht="13.5"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8155</v>
      </c>
      <c r="D56" s="1915"/>
      <c r="E56" s="1916"/>
      <c r="F56" s="1908"/>
      <c r="I56" s="1917" t="s">
        <v>1554</v>
      </c>
      <c r="J56" s="1918" t="s">
        <v>3086</v>
      </c>
      <c r="K56" s="1888" t="s">
        <v>1555</v>
      </c>
      <c r="L56" s="1891" t="str">
        <f ca="1">IF(L48&lt;J51,"——",L48-J53)</f>
        <v>——</v>
      </c>
      <c r="O56" s="1885" t="s">
        <v>1040</v>
      </c>
      <c r="P56" s="1886" t="s">
        <v>1528</v>
      </c>
      <c r="Q56" s="1887">
        <f ca="1">C40+J29</f>
        <v>108766</v>
      </c>
      <c r="R56" s="1887" t="s">
        <v>1529</v>
      </c>
    </row>
    <row r="57" spans="1:18" s="1843" customFormat="1" ht="24.75" thickBot="1">
      <c r="A57" s="1919"/>
      <c r="B57" s="1170" t="s">
        <v>1478</v>
      </c>
      <c r="C57" s="282">
        <f ca="1">C29</f>
        <v>8738</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879</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736.1</v>
      </c>
      <c r="D59" s="1183" t="s">
        <v>1430</v>
      </c>
      <c r="E59" s="1184" t="s">
        <v>1431</v>
      </c>
      <c r="F59" s="368" t="str">
        <f ca="1">IF(项目基本情况!B11="企业","",IF(INDIRECT("'数据-取费表'!c"&amp;$G$1)="住宅",5%,IF(F49*F50*F51/12/(1+'数据-取费表'!C42)&gt;20000,12%,7%)))</f>
        <v/>
      </c>
      <c r="I59" s="1923" t="s">
        <v>1563</v>
      </c>
      <c r="J59" s="1924">
        <f ca="1">IF(OR(M47="住宅",J51&lt;L48,J56="是"),"——",ROUND(C29*J58,0))</f>
        <v>3495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131</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733.99</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2.06</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108766</v>
      </c>
      <c r="R62" s="1887" t="s">
        <v>1047</v>
      </c>
    </row>
    <row r="63" spans="1:18" s="1843" customFormat="1" ht="13.5" thickBot="1">
      <c r="A63" s="372"/>
      <c r="B63" s="1176"/>
      <c r="C63" s="29"/>
      <c r="D63" s="1186"/>
      <c r="E63" s="1170" t="s">
        <v>1447</v>
      </c>
      <c r="F63" s="348">
        <f t="shared" ca="1" si="0"/>
        <v>1714.03</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131.1</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12.2</v>
      </c>
      <c r="D65" s="1184" t="s">
        <v>1454</v>
      </c>
      <c r="E65" s="1170" t="s">
        <v>1422</v>
      </c>
      <c r="F65" s="376">
        <f t="shared" ca="1" si="0"/>
        <v>1.5E-3</v>
      </c>
      <c r="I65" s="1930" t="s">
        <v>1579</v>
      </c>
      <c r="J65" s="1931">
        <v>40</v>
      </c>
      <c r="K65" s="1931">
        <v>30</v>
      </c>
      <c r="L65" s="1931">
        <v>50</v>
      </c>
      <c r="M65" s="1933">
        <v>0.02</v>
      </c>
      <c r="O65" s="1885" t="s">
        <v>1040</v>
      </c>
      <c r="P65" s="1886" t="s">
        <v>1528</v>
      </c>
      <c r="Q65" s="1887">
        <f ca="1">C40+J29</f>
        <v>108766</v>
      </c>
      <c r="R65" s="1887" t="s">
        <v>1529</v>
      </c>
    </row>
    <row r="66" spans="1:18" s="1843" customFormat="1" ht="16.5"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16.5" thickBot="1">
      <c r="A67" s="1177" t="s">
        <v>1031</v>
      </c>
      <c r="B67" s="1187" t="s">
        <v>1463</v>
      </c>
      <c r="C67" s="361">
        <f ca="1">C48-C58</f>
        <v>-879</v>
      </c>
      <c r="D67" s="1183" t="s">
        <v>1464</v>
      </c>
      <c r="E67" s="1188"/>
      <c r="F67" s="1189"/>
      <c r="O67" s="1895" t="s">
        <v>1042</v>
      </c>
      <c r="P67" s="1886" t="s">
        <v>1562</v>
      </c>
      <c r="Q67" s="1934">
        <f ca="1">L51</f>
        <v>52764</v>
      </c>
      <c r="R67" s="1887" t="s">
        <v>1582</v>
      </c>
    </row>
    <row r="68" spans="1:18" s="1843" customFormat="1" ht="16.5" thickBot="1">
      <c r="A68" s="1167" t="s">
        <v>1032</v>
      </c>
      <c r="B68" s="1168" t="s">
        <v>1485</v>
      </c>
      <c r="C68" s="346">
        <f ca="1">ROUND(C67*(1-((1+F70)/(1+F68))^F69)/(F68-F70),0)</f>
        <v>-3760</v>
      </c>
      <c r="D68" s="1185" t="s">
        <v>1469</v>
      </c>
      <c r="E68" s="1170" t="s">
        <v>1470</v>
      </c>
      <c r="F68" s="357">
        <f ca="1">F40</f>
        <v>5.5E-2</v>
      </c>
      <c r="O68" s="1895" t="s">
        <v>1043</v>
      </c>
      <c r="P68" s="1935" t="s">
        <v>1583</v>
      </c>
      <c r="Q68" s="1887">
        <f ca="1">ROUND(Q69-Q70*Q71,0)</f>
        <v>3124</v>
      </c>
      <c r="R68" s="1887" t="s">
        <v>1051</v>
      </c>
    </row>
    <row r="69" spans="1:18" s="1843" customFormat="1" ht="13.5" thickBot="1">
      <c r="A69" s="1171"/>
      <c r="B69" s="1172"/>
      <c r="C69" s="351"/>
      <c r="D69" s="1190" t="s">
        <v>1473</v>
      </c>
      <c r="E69" s="1170" t="s">
        <v>1474</v>
      </c>
      <c r="F69" s="379">
        <f ca="1">F41</f>
        <v>5.01</v>
      </c>
      <c r="O69" s="1895" t="s">
        <v>1048</v>
      </c>
      <c r="P69" s="1935" t="s">
        <v>1584</v>
      </c>
      <c r="Q69" s="1887">
        <f ca="1">C39</f>
        <v>3817</v>
      </c>
      <c r="R69" s="1887" t="s">
        <v>1529</v>
      </c>
    </row>
    <row r="70" spans="1:18" s="1843" customFormat="1" ht="13.5" thickBot="1">
      <c r="A70" s="1174"/>
      <c r="B70" s="1175"/>
      <c r="C70" s="355"/>
      <c r="D70" s="1186"/>
      <c r="E70" s="1170" t="s">
        <v>1477</v>
      </c>
      <c r="F70" s="1276"/>
      <c r="O70" s="1895" t="s">
        <v>1049</v>
      </c>
      <c r="P70" s="1935" t="s">
        <v>1585</v>
      </c>
      <c r="Q70" s="1887">
        <f ca="1">C13</f>
        <v>8155</v>
      </c>
      <c r="R70" s="1887" t="s">
        <v>1529</v>
      </c>
    </row>
    <row r="71" spans="1:18" s="1843" customFormat="1" ht="13.5" thickBot="1">
      <c r="A71" s="1191" t="s">
        <v>1033</v>
      </c>
      <c r="B71" s="1192" t="s">
        <v>1487</v>
      </c>
      <c r="C71" s="382">
        <f ca="1">ROUND(C68*10000/F71,0)</f>
        <v>-2291</v>
      </c>
      <c r="D71" s="1193" t="s">
        <v>1488</v>
      </c>
      <c r="E71" s="1194" t="s">
        <v>1489</v>
      </c>
      <c r="F71" s="385">
        <f ca="1">F43</f>
        <v>16409.68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693</v>
      </c>
      <c r="D75" s="1843"/>
      <c r="E75" s="1843"/>
      <c r="F75" s="1843"/>
      <c r="K75" s="1869"/>
      <c r="L75" s="1843"/>
      <c r="O75" s="1885" t="s">
        <v>1046</v>
      </c>
      <c r="P75" s="1886" t="s">
        <v>1549</v>
      </c>
      <c r="Q75" s="1887">
        <f ca="1">Q65+Q66</f>
        <v>108766</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0.81800000000000006</v>
      </c>
    </row>
    <row r="80" spans="1:18">
      <c r="B80" s="386" t="s">
        <v>1511</v>
      </c>
      <c r="C80" s="318">
        <f ca="1">ROUND(C75/C39,3)</f>
        <v>0.182</v>
      </c>
    </row>
    <row r="81" spans="2:3">
      <c r="B81" s="314" t="s">
        <v>1512</v>
      </c>
      <c r="C81" s="282"/>
    </row>
    <row r="82" spans="2:3">
      <c r="B82" s="317" t="s">
        <v>1513</v>
      </c>
      <c r="C82" s="319">
        <f ca="1">1-C83</f>
        <v>0.51900000000000002</v>
      </c>
    </row>
    <row r="83" spans="2:3">
      <c r="B83" s="317" t="s">
        <v>1514</v>
      </c>
      <c r="C83" s="318">
        <f ca="1">ROUND(C13/C40,3)</f>
        <v>0.48099999999999998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1">
      <formula>$L$48&gt;$J$51</formula>
    </cfRule>
  </conditionalFormatting>
  <conditionalFormatting sqref="I55 I60">
    <cfRule type="expression" dxfId="136"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3050</v>
      </c>
      <c r="D1" s="1821" t="s">
        <v>70</v>
      </c>
      <c r="E1" s="1822" t="s">
        <v>1387</v>
      </c>
      <c r="F1" s="1284">
        <f ca="1">J53</f>
        <v>38.15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2405</v>
      </c>
      <c r="C2" s="1846" t="s">
        <v>1516</v>
      </c>
      <c r="D2" s="1846"/>
      <c r="E2" s="1847"/>
      <c r="F2" s="1848"/>
      <c r="G2" s="1849"/>
      <c r="H2" s="1841"/>
      <c r="I2" s="1841"/>
      <c r="J2" s="1841"/>
      <c r="K2" s="1842"/>
      <c r="L2" s="1841"/>
      <c r="M2" s="1841"/>
    </row>
    <row r="3" spans="1:37" ht="18" customHeight="1" thickBot="1">
      <c r="A3" s="1850" t="s">
        <v>1517</v>
      </c>
      <c r="B3" s="1851">
        <f ca="1">IF(ISERROR(B2*10000/F43),0,ROUND(B2*10000/F43,0))</f>
        <v>3959</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166</v>
      </c>
      <c r="D5" s="1823" t="s">
        <v>1402</v>
      </c>
      <c r="E5" s="1294"/>
      <c r="F5" s="1295"/>
      <c r="G5" s="1852"/>
      <c r="H5" s="344">
        <v>1</v>
      </c>
      <c r="I5" s="345" t="s">
        <v>1401</v>
      </c>
      <c r="J5" s="1293">
        <f ca="1">J6+J10+J12</f>
        <v>0</v>
      </c>
      <c r="K5" s="1823" t="s">
        <v>1402</v>
      </c>
      <c r="L5" s="1294"/>
      <c r="M5" s="1295"/>
    </row>
    <row r="6" spans="1:37" ht="18" customHeight="1">
      <c r="A6" s="1292" t="s">
        <v>1035</v>
      </c>
      <c r="B6" s="3153" t="s">
        <v>1403</v>
      </c>
      <c r="C6" s="1297">
        <f ca="1">ROUND(F6*F8*F7*(1-F9)/10000,0)</f>
        <v>166</v>
      </c>
      <c r="D6" s="164" t="s">
        <v>3030</v>
      </c>
      <c r="E6" s="347" t="s">
        <v>1405</v>
      </c>
      <c r="F6" s="348">
        <f ca="1">INDIRECT("'数据-取费表'!u"&amp;$G$1)</f>
        <v>1200</v>
      </c>
      <c r="G6" s="1852"/>
      <c r="H6" s="1292" t="s">
        <v>1035</v>
      </c>
      <c r="I6" s="3153" t="s">
        <v>1403</v>
      </c>
      <c r="J6" s="346">
        <f ca="1">ROUND(M6*M8*M7*(1-M9)/10000,0)</f>
        <v>0</v>
      </c>
      <c r="K6" s="164" t="s">
        <v>3029</v>
      </c>
      <c r="L6" s="347" t="s">
        <v>1405</v>
      </c>
      <c r="M6" s="348">
        <f ca="1">INDIRECT("'数据-取费表'!z"&amp;$G$1)</f>
        <v>0</v>
      </c>
    </row>
    <row r="7" spans="1:37" ht="18" customHeight="1">
      <c r="A7" s="1296"/>
      <c r="B7" s="3154"/>
      <c r="C7" s="1298"/>
      <c r="D7" s="352"/>
      <c r="E7" s="2953" t="s">
        <v>1406</v>
      </c>
      <c r="F7" s="348">
        <f ca="1">IF(INDIRECT("'数据-取费表'!ah"&amp;$G$1)="",INDIRECT("'数据-取费表'!k"&amp;$G$1),INDIRECT("'数据-取费表'!ah"&amp;$G$1))</f>
        <v>128</v>
      </c>
      <c r="G7" s="1852"/>
      <c r="H7" s="349"/>
      <c r="I7" s="3154"/>
      <c r="J7" s="351"/>
      <c r="K7" s="352"/>
      <c r="L7" s="347" t="s">
        <v>1406</v>
      </c>
      <c r="M7" s="348">
        <f ca="1">F7</f>
        <v>128</v>
      </c>
    </row>
    <row r="8" spans="1:37" ht="18" customHeight="1">
      <c r="A8" s="349"/>
      <c r="B8" s="3154"/>
      <c r="C8" s="351"/>
      <c r="D8" s="352"/>
      <c r="E8" s="347" t="s">
        <v>1407</v>
      </c>
      <c r="F8" s="348">
        <f ca="1">INDIRECT("'数据-取费表'!ai"&amp;$G$1)</f>
        <v>12</v>
      </c>
      <c r="G8" s="1852"/>
      <c r="H8" s="349"/>
      <c r="I8" s="3154"/>
      <c r="J8" s="351"/>
      <c r="K8" s="352"/>
      <c r="L8" s="347" t="s">
        <v>1407</v>
      </c>
      <c r="M8" s="348">
        <f ca="1">INDIRECT("'数据-取费表'!ai"&amp;$G$1)</f>
        <v>12</v>
      </c>
    </row>
    <row r="9" spans="1:37" ht="18" customHeight="1">
      <c r="A9" s="349"/>
      <c r="B9" s="3155"/>
      <c r="C9" s="351"/>
      <c r="D9" s="352"/>
      <c r="E9" s="347" t="s">
        <v>1408</v>
      </c>
      <c r="F9" s="357">
        <f ca="1">INDIRECT("'数据-取费表'!w"&amp;$G$1)</f>
        <v>0.1</v>
      </c>
      <c r="G9" s="1852"/>
      <c r="H9" s="349"/>
      <c r="I9" s="315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3038</v>
      </c>
      <c r="E10" s="358" t="s">
        <v>1410</v>
      </c>
      <c r="F10" s="1367" t="s">
        <v>3299</v>
      </c>
      <c r="G10" s="1852"/>
      <c r="H10" s="1292" t="s">
        <v>1039</v>
      </c>
      <c r="I10" s="1824" t="s">
        <v>1409</v>
      </c>
      <c r="J10" s="346">
        <f ca="1">ROUND(IF(M10="押一",J6/12*M11,IF(M10="押二",J6/12*2*M11,IF(M10="押三",J6/12*3*M11,J11*M11))),0)</f>
        <v>0</v>
      </c>
      <c r="K10" s="1825" t="s">
        <v>3038</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2502</v>
      </c>
      <c r="D13" s="1332" t="s">
        <v>1415</v>
      </c>
      <c r="E13" s="1332" t="s">
        <v>1416</v>
      </c>
      <c r="F13" s="1333">
        <f ca="1">INDIRECT("'数据-取费表'!y"&amp;$G$1)</f>
        <v>0.93333333333333335</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1822</v>
      </c>
      <c r="D14" s="2944" t="s">
        <v>1418</v>
      </c>
      <c r="E14" s="2942"/>
      <c r="F14" s="364"/>
      <c r="G14" s="1852"/>
      <c r="H14" s="1202" t="s">
        <v>1035</v>
      </c>
      <c r="I14" s="347" t="s">
        <v>1419</v>
      </c>
      <c r="J14" s="24">
        <f ca="1">C29</f>
        <v>2681</v>
      </c>
      <c r="K14" s="2952"/>
      <c r="L14" s="980"/>
      <c r="M14" s="981"/>
    </row>
    <row r="15" spans="1:37" s="1859" customFormat="1" ht="18" customHeight="1" thickBot="1">
      <c r="A15" s="1202" t="s">
        <v>1036</v>
      </c>
      <c r="B15" s="347" t="s">
        <v>1420</v>
      </c>
      <c r="C15" s="24">
        <f ca="1">ROUND(C14*F15,0)</f>
        <v>55</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64</v>
      </c>
      <c r="K16" s="1338" t="s">
        <v>1425</v>
      </c>
      <c r="L16" s="2946"/>
      <c r="M16" s="1295"/>
    </row>
    <row r="17" spans="1:37" s="1859" customFormat="1" ht="18" customHeight="1">
      <c r="A17" s="1202" t="s">
        <v>1390</v>
      </c>
      <c r="B17" s="347" t="s">
        <v>1426</v>
      </c>
      <c r="C17" s="24">
        <f ca="1">ROUND(F17*(F43+INDIRECT("'数据-取费表'!S"&amp;$G$1))/10000,0)</f>
        <v>121</v>
      </c>
      <c r="D17" s="347" t="s">
        <v>1427</v>
      </c>
      <c r="E17" s="347" t="s">
        <v>1428</v>
      </c>
      <c r="F17" s="26">
        <f>'数据-取费表'!B35</f>
        <v>200</v>
      </c>
      <c r="G17" s="1855"/>
      <c r="H17" s="1202" t="s">
        <v>1035</v>
      </c>
      <c r="I17" s="347" t="s">
        <v>1429</v>
      </c>
      <c r="J17" s="24">
        <f ca="1">ROUND(IF(项目基本情况!B11="自然人",J5*M17,J18+J19+J20),1)</f>
        <v>23.3</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27</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2025</v>
      </c>
      <c r="D19" s="140" t="s">
        <v>1436</v>
      </c>
      <c r="E19" s="2951"/>
      <c r="F19" s="26"/>
      <c r="G19" s="1852"/>
      <c r="H19" s="1202" t="s">
        <v>1036</v>
      </c>
      <c r="I19" s="347" t="s">
        <v>1437</v>
      </c>
      <c r="J19" s="24">
        <f ca="1">IF(K19="按租金收入计税",ROUND(J5*M19,2),ROUND(C29*M19*0.7,2))</f>
        <v>22.52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41</v>
      </c>
      <c r="D20" s="369" t="s">
        <v>1440</v>
      </c>
      <c r="E20" s="347" t="s">
        <v>1422</v>
      </c>
      <c r="F20" s="367">
        <f>'数据-取费表'!B37</f>
        <v>0.02</v>
      </c>
      <c r="G20" s="1855"/>
      <c r="H20" s="1202" t="s">
        <v>1389</v>
      </c>
      <c r="I20" s="164" t="s">
        <v>1441</v>
      </c>
      <c r="J20" s="25">
        <f ca="1">ROUND(M20*M21/10000,2)</f>
        <v>0.76</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634.52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40.200000000000003</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-64</v>
      </c>
      <c r="K25" s="1346" t="s">
        <v>1464</v>
      </c>
      <c r="L25" s="1347"/>
      <c r="M25" s="1348"/>
    </row>
    <row r="26" spans="1:37">
      <c r="A26" s="1202" t="s">
        <v>1034</v>
      </c>
      <c r="B26" s="347" t="s">
        <v>1465</v>
      </c>
      <c r="C26" s="24">
        <f ca="1">ROUND((C19+C20)*F26,0)</f>
        <v>310</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2681</v>
      </c>
      <c r="D29" s="1343"/>
      <c r="E29" s="1341"/>
      <c r="F29" s="1344"/>
      <c r="G29" s="1855"/>
      <c r="H29" s="380" t="s">
        <v>1033</v>
      </c>
      <c r="I29" s="381" t="s">
        <v>1479</v>
      </c>
      <c r="J29" s="382">
        <f ca="1">ROUND(J26/(1+F40)^F41,0)</f>
        <v>0</v>
      </c>
      <c r="K29" s="383" t="s">
        <v>1480</v>
      </c>
      <c r="L29" s="384"/>
      <c r="M29" s="385">
        <f ca="1">INDIRECT("'数据-取费表'!k"&amp;$G$1)</f>
        <v>6074.74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75</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29.5</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8.85</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19.920000000000002</v>
      </c>
      <c r="D33" s="1829" t="s">
        <v>3083</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0.76</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634.52</v>
      </c>
      <c r="G35" s="1852"/>
      <c r="H35" s="745"/>
      <c r="I35" s="1861"/>
      <c r="J35" s="1862"/>
      <c r="K35" s="1863"/>
      <c r="L35" s="1860"/>
      <c r="M35" s="1860"/>
    </row>
    <row r="36" spans="1:18" ht="18" customHeight="1">
      <c r="A36" s="1353" t="s">
        <v>1039</v>
      </c>
      <c r="B36" s="347" t="s">
        <v>1449</v>
      </c>
      <c r="C36" s="24">
        <f ca="1">ROUND(C29*F36,1)</f>
        <v>40.200000000000003</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3.8</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1.7</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91</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2365</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0.03</v>
      </c>
      <c r="G42" s="1852"/>
      <c r="H42" s="732"/>
      <c r="I42" s="1861"/>
      <c r="J42" s="1862"/>
      <c r="K42" s="751"/>
      <c r="L42" s="732"/>
      <c r="M42" s="732"/>
    </row>
    <row r="43" spans="1:18" ht="18" customHeight="1" thickBot="1">
      <c r="A43" s="380" t="s">
        <v>1033</v>
      </c>
      <c r="B43" s="381" t="s">
        <v>1487</v>
      </c>
      <c r="C43" s="382">
        <f ca="1">ROUND(C40*10000/F43,0)</f>
        <v>3893</v>
      </c>
      <c r="D43" s="383" t="s">
        <v>1488</v>
      </c>
      <c r="E43" s="384" t="s">
        <v>1489</v>
      </c>
      <c r="F43" s="385">
        <f ca="1">INDIRECT("'数据-取费表'!k"&amp;$G$1)</f>
        <v>6074.74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-6925</v>
      </c>
      <c r="D46" s="1873" t="str">
        <f>C2</f>
        <v>万元</v>
      </c>
      <c r="E46" s="1867"/>
      <c r="F46" s="1867"/>
      <c r="I46" s="1874" t="s">
        <v>1521</v>
      </c>
      <c r="J46" s="1875"/>
      <c r="K46" s="1876"/>
      <c r="L46" s="1877">
        <f ca="1">IF(M47="住宅",0,IF(L48&gt;J51,L60,J60))</f>
        <v>40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2"/>
      <c r="I47" s="1881" t="s">
        <v>1526</v>
      </c>
      <c r="J47" s="1882" t="s">
        <v>3084</v>
      </c>
      <c r="K47" s="1883" t="s">
        <v>1527</v>
      </c>
      <c r="L47" s="1884">
        <f ca="1">INDIRECT("'数据-取费表'!d"&amp;$G$1)</f>
        <v>50</v>
      </c>
      <c r="M47" s="1839" t="str">
        <f>IF(ISNUMBER(FIND("住宅",C1)),"住宅","非住宅")</f>
        <v>非住宅</v>
      </c>
      <c r="O47" s="1885" t="s">
        <v>1040</v>
      </c>
      <c r="P47" s="1886" t="s">
        <v>1528</v>
      </c>
      <c r="Q47" s="1887">
        <f ca="1">C40+J29</f>
        <v>2365</v>
      </c>
      <c r="R47" s="1887" t="s">
        <v>1529</v>
      </c>
    </row>
    <row r="48" spans="1:18" s="1843" customFormat="1" ht="28.5" thickBot="1">
      <c r="A48" s="1361" t="s">
        <v>1135</v>
      </c>
      <c r="B48" s="345" t="s">
        <v>1401</v>
      </c>
      <c r="C48" s="2950">
        <f ca="1">C49+C53+C55</f>
        <v>0</v>
      </c>
      <c r="D48" s="1363"/>
      <c r="E48" s="1364"/>
      <c r="F48" s="1182"/>
      <c r="G48" s="792"/>
      <c r="H48" s="793"/>
      <c r="I48" s="1888" t="s">
        <v>1530</v>
      </c>
      <c r="J48" s="1889" t="s">
        <v>3085</v>
      </c>
      <c r="K48" s="1890" t="s">
        <v>1531</v>
      </c>
      <c r="L48" s="1891">
        <f ca="1">INDIRECT("'数据-取费表'!f"&amp;$G$1)</f>
        <v>38.15</v>
      </c>
      <c r="O48" s="1885" t="s">
        <v>1041</v>
      </c>
      <c r="P48" s="1886" t="s">
        <v>1532</v>
      </c>
      <c r="Q48" s="1887">
        <f ca="1">J60</f>
        <v>40</v>
      </c>
      <c r="R48" s="1887" t="s">
        <v>1533</v>
      </c>
    </row>
    <row r="49" spans="1:18" s="1843" customFormat="1" ht="13.5" thickBot="1">
      <c r="A49" s="1195" t="s">
        <v>1136</v>
      </c>
      <c r="B49" s="1830" t="s">
        <v>1490</v>
      </c>
      <c r="C49" s="1365">
        <f ca="1">ROUND(F49*F51*F50*(1-F52)/10000,0)</f>
        <v>0</v>
      </c>
      <c r="D49" s="1277" t="s">
        <v>3029</v>
      </c>
      <c r="E49" s="1831" t="s">
        <v>1491</v>
      </c>
      <c r="F49" s="1282"/>
      <c r="G49" s="1892"/>
      <c r="H49" s="793"/>
      <c r="I49" s="1888" t="s">
        <v>1534</v>
      </c>
      <c r="J49" s="1893">
        <v>2014</v>
      </c>
      <c r="K49" s="1890" t="s">
        <v>1535</v>
      </c>
      <c r="L49" s="1894"/>
      <c r="O49" s="1895" t="s">
        <v>1042</v>
      </c>
      <c r="P49" s="1886" t="s">
        <v>1536</v>
      </c>
      <c r="Q49" s="1887">
        <f ca="1">C29</f>
        <v>2681</v>
      </c>
      <c r="R49" s="1887" t="s">
        <v>1529</v>
      </c>
    </row>
    <row r="50" spans="1:18" s="1843" customFormat="1" ht="13.5" thickBot="1">
      <c r="A50" s="1196"/>
      <c r="B50" s="1199"/>
      <c r="C50" s="1369"/>
      <c r="D50" s="1173"/>
      <c r="E50" s="1278" t="s">
        <v>1406</v>
      </c>
      <c r="F50" s="1279">
        <f ca="1">F7</f>
        <v>128</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7"/>
      <c r="B51" s="1199"/>
      <c r="C51" s="1200"/>
      <c r="D51" s="1173"/>
      <c r="E51" s="1201" t="s">
        <v>1407</v>
      </c>
      <c r="F51" s="348">
        <f ca="1">F8</f>
        <v>12</v>
      </c>
      <c r="I51" s="1899" t="s">
        <v>1540</v>
      </c>
      <c r="J51" s="1900">
        <f>IF(J49="",J50,J49+J50-YEAR('数据-取费表'!B2))</f>
        <v>56</v>
      </c>
      <c r="K51" s="1901" t="s">
        <v>1541</v>
      </c>
      <c r="L51" s="1902">
        <f ca="1">ROUND(-PV(INDIRECT("'数据-取费表'!h"&amp;$G$1),L48,(C39-C13*C76),0),0)</f>
        <v>-2199</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24.75" thickBot="1">
      <c r="A53" s="1406" t="s">
        <v>1137</v>
      </c>
      <c r="B53" s="1832" t="s">
        <v>1409</v>
      </c>
      <c r="C53" s="361">
        <f ca="1">ROUND(IF(F53="押一",C49/12*F11,IF(F53="押二",C49/12*2*F11,IF(F53="押三",C49/12*3*F11,C54*F11))),0)</f>
        <v>0</v>
      </c>
      <c r="D53" s="1825" t="s">
        <v>3038</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151" t="s">
        <v>1548</v>
      </c>
      <c r="L53" s="3152"/>
      <c r="O53" s="1885" t="s">
        <v>1046</v>
      </c>
      <c r="P53" s="1886" t="s">
        <v>1549</v>
      </c>
      <c r="Q53" s="1887">
        <f ca="1">Q47+Q48</f>
        <v>2405</v>
      </c>
      <c r="R53" s="1887" t="s">
        <v>1047</v>
      </c>
    </row>
    <row r="54" spans="1:18" s="1843" customFormat="1" ht="13.5"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2502</v>
      </c>
      <c r="D56" s="1915"/>
      <c r="E56" s="1916"/>
      <c r="F56" s="1908"/>
      <c r="I56" s="1917" t="s">
        <v>1554</v>
      </c>
      <c r="J56" s="1918" t="s">
        <v>3086</v>
      </c>
      <c r="K56" s="1888" t="s">
        <v>1555</v>
      </c>
      <c r="L56" s="1891" t="str">
        <f ca="1">IF(L48&lt;J51,"——",L48-J53)</f>
        <v>——</v>
      </c>
      <c r="O56" s="1885" t="s">
        <v>1040</v>
      </c>
      <c r="P56" s="1886" t="s">
        <v>1528</v>
      </c>
      <c r="Q56" s="1887">
        <f ca="1">C40+J29</f>
        <v>2365</v>
      </c>
      <c r="R56" s="1887" t="s">
        <v>1529</v>
      </c>
    </row>
    <row r="57" spans="1:18" s="1843" customFormat="1" ht="24.75" thickBot="1">
      <c r="A57" s="1919"/>
      <c r="B57" s="1170" t="s">
        <v>1478</v>
      </c>
      <c r="C57" s="282">
        <f ca="1">C29</f>
        <v>2681</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270</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226</v>
      </c>
      <c r="D59" s="1183" t="s">
        <v>1430</v>
      </c>
      <c r="E59" s="1184" t="s">
        <v>1431</v>
      </c>
      <c r="F59" s="368" t="str">
        <f ca="1">IF(项目基本情况!B11="企业","",IF(INDIRECT("'数据-取费表'!c"&amp;$G$1)="住宅",5%,IF(F49*F50*F51/12/(1+'数据-取费表'!C42)&gt;20000,12%,7%)))</f>
        <v/>
      </c>
      <c r="I59" s="1923" t="s">
        <v>1563</v>
      </c>
      <c r="J59" s="1924">
        <f ca="1">IF(OR(M47="住宅",J51&lt;L48,J56="是"),"——",ROUND(C29*J58,0))</f>
        <v>1072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40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IF(项目基本情况!B11="自然人","——",IF(D61="按租金收入计税",ROUND(C48*F61,2),IF(D61="按房产原值计税",ROUND(C57*F61*0.7,2),INDIRECT("'数据-取费表'!Aj"&amp;$G$1))))</f>
        <v>225.2</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IF(项目基本情况!B11="自然人","——",ROUND(F62*F63/10000,2))</f>
        <v>0.76</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2365</v>
      </c>
      <c r="R62" s="1887" t="s">
        <v>1047</v>
      </c>
    </row>
    <row r="63" spans="1:18" s="1843" customFormat="1" ht="13.5" thickBot="1">
      <c r="A63" s="372"/>
      <c r="B63" s="1176"/>
      <c r="C63" s="29"/>
      <c r="D63" s="1186"/>
      <c r="E63" s="1170" t="s">
        <v>1447</v>
      </c>
      <c r="F63" s="348">
        <f t="shared" ca="1" si="0"/>
        <v>634.52</v>
      </c>
      <c r="I63" s="1930" t="s">
        <v>1576</v>
      </c>
      <c r="J63" s="1931">
        <v>70</v>
      </c>
      <c r="K63" s="1931">
        <v>50</v>
      </c>
      <c r="L63" s="1931">
        <v>80</v>
      </c>
      <c r="M63" s="1933">
        <v>0.02</v>
      </c>
      <c r="O63" s="1870" t="s">
        <v>1577</v>
      </c>
      <c r="P63" s="1840"/>
      <c r="Q63" s="1840"/>
      <c r="R63" s="1840"/>
    </row>
    <row r="64" spans="1:18" s="1843" customFormat="1" ht="13.5" thickBot="1">
      <c r="A64" s="1202" t="s">
        <v>1039</v>
      </c>
      <c r="B64" s="1170" t="s">
        <v>1449</v>
      </c>
      <c r="C64" s="24">
        <f ca="1">ROUND(C57*F64,1)</f>
        <v>40.200000000000003</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3.8</v>
      </c>
      <c r="D65" s="1184" t="s">
        <v>1454</v>
      </c>
      <c r="E65" s="1170" t="s">
        <v>1422</v>
      </c>
      <c r="F65" s="376">
        <f t="shared" ca="1" si="0"/>
        <v>1.5E-3</v>
      </c>
      <c r="I65" s="1930" t="s">
        <v>1579</v>
      </c>
      <c r="J65" s="1931">
        <v>40</v>
      </c>
      <c r="K65" s="1931">
        <v>30</v>
      </c>
      <c r="L65" s="1931">
        <v>50</v>
      </c>
      <c r="M65" s="1933">
        <v>0.02</v>
      </c>
      <c r="O65" s="1885" t="s">
        <v>1040</v>
      </c>
      <c r="P65" s="1886" t="s">
        <v>1528</v>
      </c>
      <c r="Q65" s="1887">
        <f ca="1">C40+J29</f>
        <v>2365</v>
      </c>
      <c r="R65" s="1887" t="s">
        <v>1529</v>
      </c>
    </row>
    <row r="66" spans="1:18" s="1843" customFormat="1" ht="16.5"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16.5" thickBot="1">
      <c r="A67" s="1177" t="s">
        <v>1031</v>
      </c>
      <c r="B67" s="1187" t="s">
        <v>1463</v>
      </c>
      <c r="C67" s="361">
        <f ca="1">C48-C58</f>
        <v>-270</v>
      </c>
      <c r="D67" s="1183" t="s">
        <v>1464</v>
      </c>
      <c r="E67" s="1188"/>
      <c r="F67" s="1189"/>
      <c r="O67" s="1895" t="s">
        <v>1042</v>
      </c>
      <c r="P67" s="1886" t="s">
        <v>1562</v>
      </c>
      <c r="Q67" s="1934">
        <f ca="1">L51</f>
        <v>-2199</v>
      </c>
      <c r="R67" s="1887" t="s">
        <v>1582</v>
      </c>
    </row>
    <row r="68" spans="1:18" s="1843" customFormat="1" ht="16.5" thickBot="1">
      <c r="A68" s="1167" t="s">
        <v>1032</v>
      </c>
      <c r="B68" s="1168" t="s">
        <v>1485</v>
      </c>
      <c r="C68" s="346">
        <f ca="1">ROUND(C67*(1-((1+F70)/(1+F68))^F69)/(F68-F70),0)</f>
        <v>-4560</v>
      </c>
      <c r="D68" s="1185" t="s">
        <v>1469</v>
      </c>
      <c r="E68" s="1170" t="s">
        <v>1470</v>
      </c>
      <c r="F68" s="357">
        <f ca="1">F40</f>
        <v>0.05</v>
      </c>
      <c r="O68" s="1895" t="s">
        <v>1043</v>
      </c>
      <c r="P68" s="1935" t="s">
        <v>1583</v>
      </c>
      <c r="Q68" s="1887">
        <f ca="1">ROUND(Q69-Q70*Q71,0)</f>
        <v>-122</v>
      </c>
      <c r="R68" s="1887" t="s">
        <v>1051</v>
      </c>
    </row>
    <row r="69" spans="1:18" s="1843" customFormat="1" ht="13.5" thickBot="1">
      <c r="A69" s="1171"/>
      <c r="B69" s="1172"/>
      <c r="C69" s="351"/>
      <c r="D69" s="1190" t="s">
        <v>1473</v>
      </c>
      <c r="E69" s="1170" t="s">
        <v>1474</v>
      </c>
      <c r="F69" s="379">
        <f ca="1">F41</f>
        <v>38.15</v>
      </c>
      <c r="O69" s="1895" t="s">
        <v>1048</v>
      </c>
      <c r="P69" s="1935" t="s">
        <v>1584</v>
      </c>
      <c r="Q69" s="1887">
        <f ca="1">C39</f>
        <v>91</v>
      </c>
      <c r="R69" s="1887" t="s">
        <v>1529</v>
      </c>
    </row>
    <row r="70" spans="1:18" s="1843" customFormat="1" ht="13.5" thickBot="1">
      <c r="A70" s="1174"/>
      <c r="B70" s="1175"/>
      <c r="C70" s="355"/>
      <c r="D70" s="1186"/>
      <c r="E70" s="1170" t="s">
        <v>1477</v>
      </c>
      <c r="F70" s="1276"/>
      <c r="O70" s="1895" t="s">
        <v>1049</v>
      </c>
      <c r="P70" s="1935" t="s">
        <v>1585</v>
      </c>
      <c r="Q70" s="1887">
        <f ca="1">C13</f>
        <v>2502</v>
      </c>
      <c r="R70" s="1887" t="s">
        <v>1529</v>
      </c>
    </row>
    <row r="71" spans="1:18" s="1843" customFormat="1" ht="13.5" thickBot="1">
      <c r="A71" s="1191" t="s">
        <v>1033</v>
      </c>
      <c r="B71" s="1192" t="s">
        <v>1487</v>
      </c>
      <c r="C71" s="382">
        <f ca="1">ROUND(C68*10000/F71,0)</f>
        <v>-7506</v>
      </c>
      <c r="D71" s="1193" t="s">
        <v>1488</v>
      </c>
      <c r="E71" s="1194" t="s">
        <v>1489</v>
      </c>
      <c r="F71" s="385">
        <f ca="1">F43</f>
        <v>6074.74</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213</v>
      </c>
      <c r="D75" s="1843"/>
      <c r="E75" s="1843"/>
      <c r="F75" s="1843"/>
      <c r="K75" s="1869"/>
      <c r="L75" s="1843"/>
      <c r="O75" s="1885" t="s">
        <v>1046</v>
      </c>
      <c r="P75" s="1886" t="s">
        <v>1549</v>
      </c>
      <c r="Q75" s="1887">
        <f ca="1">Q65+Q66</f>
        <v>2365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-1.3410000000000002</v>
      </c>
    </row>
    <row r="80" spans="1:18">
      <c r="B80" s="386" t="s">
        <v>1511</v>
      </c>
      <c r="C80" s="318">
        <f ca="1">ROUND(C75/C39,3)</f>
        <v>2.3410000000000002</v>
      </c>
    </row>
    <row r="81" spans="2:3">
      <c r="B81" s="314" t="s">
        <v>1512</v>
      </c>
      <c r="C81" s="282"/>
    </row>
    <row r="82" spans="2:3">
      <c r="B82" s="317" t="s">
        <v>1513</v>
      </c>
      <c r="C82" s="319">
        <f ca="1">1-C83</f>
        <v>-5.8000000000000052E-2</v>
      </c>
    </row>
    <row r="83" spans="2:3">
      <c r="B83" s="317" t="s">
        <v>1514</v>
      </c>
      <c r="C83" s="318">
        <f ca="1">ROUND(C13/C40,3)</f>
        <v>1.0580000000000001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5" priority="1">
      <formula>$L$48&gt;$J$51</formula>
    </cfRule>
  </conditionalFormatting>
  <conditionalFormatting sqref="I55 I60">
    <cfRule type="expression" dxfId="134"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c r="D1" s="1821"/>
      <c r="E1" s="1822" t="s">
        <v>1387</v>
      </c>
      <c r="F1" s="1284" t="b">
        <f>J53</f>
        <v>0</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153" t="s">
        <v>1403</v>
      </c>
      <c r="C6" s="1297">
        <f ca="1">ROUND(F6*F8*F7*(1-F9),0)</f>
        <v>0</v>
      </c>
      <c r="D6" s="164" t="s">
        <v>3027</v>
      </c>
      <c r="E6" s="347" t="s">
        <v>1405</v>
      </c>
      <c r="F6" s="348">
        <f ca="1">INDIRECT("'数据-取费表'!u"&amp;$G$1)</f>
        <v>0</v>
      </c>
      <c r="G6" s="1852"/>
      <c r="H6" s="1292" t="s">
        <v>1035</v>
      </c>
      <c r="I6" s="3153" t="s">
        <v>1403</v>
      </c>
      <c r="J6" s="346">
        <f ca="1">ROUND(M6*M8*M7*(1-M9),0)</f>
        <v>0</v>
      </c>
      <c r="K6" s="1835" t="s">
        <v>3028</v>
      </c>
      <c r="L6" s="347" t="s">
        <v>1405</v>
      </c>
      <c r="M6" s="348">
        <f ca="1">INDIRECT("'数据-取费表'!z"&amp;$G$1)</f>
        <v>0</v>
      </c>
    </row>
    <row r="7" spans="1:37" ht="18" customHeight="1">
      <c r="A7" s="1296"/>
      <c r="B7" s="3154"/>
      <c r="C7" s="1298"/>
      <c r="D7" s="352"/>
      <c r="E7" s="1299" t="s">
        <v>1406</v>
      </c>
      <c r="F7" s="348">
        <f ca="1">IF(INDIRECT("'数据-取费表'!ah"&amp;$G$1)="",INDIRECT("'数据-取费表'!k"&amp;$G$1),INDIRECT("'数据-取费表'!ah"&amp;$G$1))</f>
        <v>0</v>
      </c>
      <c r="G7" s="1852"/>
      <c r="H7" s="349"/>
      <c r="I7" s="3154"/>
      <c r="J7" s="351"/>
      <c r="K7" s="352"/>
      <c r="L7" s="347" t="s">
        <v>1406</v>
      </c>
      <c r="M7" s="348">
        <f ca="1">F7</f>
        <v>0</v>
      </c>
    </row>
    <row r="8" spans="1:37" ht="18" customHeight="1">
      <c r="A8" s="349"/>
      <c r="B8" s="3154"/>
      <c r="C8" s="351"/>
      <c r="D8" s="352"/>
      <c r="E8" s="347" t="s">
        <v>1407</v>
      </c>
      <c r="F8" s="348">
        <f ca="1">INDIRECT("'数据-取费表'!ai"&amp;$G$1)</f>
        <v>0</v>
      </c>
      <c r="G8" s="1852"/>
      <c r="H8" s="349"/>
      <c r="I8" s="3154"/>
      <c r="J8" s="351"/>
      <c r="K8" s="352"/>
      <c r="L8" s="347" t="s">
        <v>1407</v>
      </c>
      <c r="M8" s="348">
        <f ca="1">INDIRECT("'数据-取费表'!ai"&amp;$G$1)</f>
        <v>0</v>
      </c>
    </row>
    <row r="9" spans="1:37" ht="18" customHeight="1">
      <c r="A9" s="349"/>
      <c r="B9" s="3155"/>
      <c r="C9" s="351"/>
      <c r="D9" s="352"/>
      <c r="E9" s="347" t="s">
        <v>1408</v>
      </c>
      <c r="F9" s="357">
        <f ca="1">INDIRECT("'数据-取费表'!w"&amp;$G$1)</f>
        <v>0</v>
      </c>
      <c r="G9" s="1852"/>
      <c r="H9" s="349"/>
      <c r="I9" s="315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3038</v>
      </c>
      <c r="E10" s="358" t="s">
        <v>1410</v>
      </c>
      <c r="F10" s="1367"/>
      <c r="G10" s="1852"/>
      <c r="H10" s="1292" t="s">
        <v>1039</v>
      </c>
      <c r="I10" s="1824" t="s">
        <v>1409</v>
      </c>
      <c r="J10" s="346">
        <f ca="1">ROUND(IF(M10="押一",J6/12*M11,IF(M10="押二",J6/12*2*M11,IF(M10="押三",J6/12*3*M11,J11*M11))),0)</f>
        <v>0</v>
      </c>
      <c r="K10" s="1836" t="s">
        <v>3040</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0</v>
      </c>
      <c r="D14" s="1801" t="s">
        <v>1418</v>
      </c>
      <c r="E14" s="1795"/>
      <c r="F14" s="364"/>
      <c r="G14" s="1852"/>
      <c r="H14" s="1202" t="s">
        <v>1035</v>
      </c>
      <c r="I14" s="347" t="s">
        <v>1419</v>
      </c>
      <c r="J14" s="24">
        <f ca="1">C29</f>
        <v>0</v>
      </c>
      <c r="K14" s="15"/>
      <c r="L14" s="980"/>
      <c r="M14" s="981"/>
    </row>
    <row r="15" spans="1:37" s="1859" customFormat="1" ht="18" customHeight="1" thickBot="1">
      <c r="A15" s="1202"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2" t="s">
        <v>1390</v>
      </c>
      <c r="B17" s="347" t="s">
        <v>1426</v>
      </c>
      <c r="C17" s="24">
        <f ca="1">ROUND(F17*(F43+INDIRECT("'数据-取费表'!S"&amp;$G$1)),0)</f>
        <v>0</v>
      </c>
      <c r="D17" s="347" t="s">
        <v>1427</v>
      </c>
      <c r="E17" s="347" t="s">
        <v>1428</v>
      </c>
      <c r="F17" s="26">
        <f>'数据-取费表'!B35</f>
        <v>200</v>
      </c>
      <c r="G17" s="1855"/>
      <c r="H17" s="1202"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0</v>
      </c>
      <c r="D19" s="140" t="s">
        <v>1436</v>
      </c>
      <c r="E19" s="1819"/>
      <c r="F19" s="26"/>
      <c r="G19" s="1852"/>
      <c r="H19" s="1202"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0.02</v>
      </c>
      <c r="G20" s="1855"/>
      <c r="H20" s="1202" t="s">
        <v>1389</v>
      </c>
      <c r="I20" s="164" t="s">
        <v>1441</v>
      </c>
      <c r="J20" s="25">
        <f ca="1">ROUND(M20*M21,0)</f>
        <v>0</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ROUND(J14*M22,0)</f>
        <v>0</v>
      </c>
      <c r="K22" s="1799" t="s">
        <v>1450</v>
      </c>
      <c r="L22" s="347" t="s">
        <v>1422</v>
      </c>
      <c r="M22" s="374">
        <f ca="1">INDIRECT("'数据-取费表'!Ak"&amp;$G$1)</f>
        <v>0</v>
      </c>
    </row>
    <row r="23" spans="1:37" s="185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IF(项目基本情况!B11="自然人","——",ROUND(C5*F32/(1+'数据-取费表'!C42),0))</f>
        <v>0</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0</v>
      </c>
      <c r="G35" s="1852"/>
      <c r="H35" s="745"/>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51"/>
      <c r="L36" s="1860"/>
      <c r="M36" s="1860"/>
    </row>
    <row r="37" spans="1:18" ht="18" customHeight="1">
      <c r="A37" s="1202" t="s">
        <v>1075</v>
      </c>
      <c r="B37" s="347" t="s">
        <v>1453</v>
      </c>
      <c r="C37" s="24">
        <f ca="1">ROUND(C13*F37,0)</f>
        <v>0</v>
      </c>
      <c r="D37" s="1799" t="s">
        <v>1454</v>
      </c>
      <c r="E37" s="347" t="s">
        <v>1455</v>
      </c>
      <c r="F37" s="376">
        <f ca="1">INDIRECT("'数据-取费表'!Al"&amp;$G$1)</f>
        <v>0</v>
      </c>
      <c r="G37" s="1852"/>
      <c r="H37" s="1860"/>
      <c r="I37" s="1861"/>
      <c r="J37" s="1862"/>
      <c r="K37" s="751"/>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1477</v>
      </c>
      <c r="F42" s="357">
        <f ca="1">INDIRECT("'数据-取费表'!v"&amp;$G$1)</f>
        <v>0</v>
      </c>
      <c r="G42" s="1852"/>
      <c r="H42" s="732"/>
      <c r="I42" s="1861"/>
      <c r="J42" s="1862"/>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2"/>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5" t="s">
        <v>1401</v>
      </c>
      <c r="C48" s="1818">
        <f ca="1">C49+C53+C55</f>
        <v>0</v>
      </c>
      <c r="D48" s="1363"/>
      <c r="E48" s="1364"/>
      <c r="F48" s="1182"/>
      <c r="G48" s="792"/>
      <c r="H48" s="793"/>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3"/>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3"/>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3041</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1" t="s">
        <v>1548</v>
      </c>
      <c r="L53" s="3152"/>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8" t="s">
        <v>1424</v>
      </c>
      <c r="C58" s="361">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1">
        <f t="shared" si="0"/>
        <v>12</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7">
        <f t="shared" ca="1" si="0"/>
        <v>0</v>
      </c>
      <c r="O66" s="1885" t="s">
        <v>1041</v>
      </c>
      <c r="P66" s="1886" t="s">
        <v>1558</v>
      </c>
      <c r="Q66" s="1887" t="e">
        <f ca="1">L60</f>
        <v>#DIV/0!</v>
      </c>
      <c r="R66" s="1887" t="s">
        <v>1581</v>
      </c>
    </row>
    <row r="67" spans="1:18" s="1843" customFormat="1" ht="16.5" thickBot="1">
      <c r="A67" s="1177" t="s">
        <v>1031</v>
      </c>
      <c r="B67" s="1187" t="s">
        <v>1463</v>
      </c>
      <c r="C67" s="361">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6" t="e">
        <f ca="1">ROUND(C67*(1-((1+F70)/(1+F68))^F69)/(F68-F70),0)</f>
        <v>#DIV/0!</v>
      </c>
      <c r="D68" s="1185" t="s">
        <v>1469</v>
      </c>
      <c r="E68" s="1170" t="s">
        <v>1470</v>
      </c>
      <c r="F68" s="357">
        <f ca="1">F40</f>
        <v>0</v>
      </c>
      <c r="O68" s="1895" t="s">
        <v>1043</v>
      </c>
      <c r="P68" s="1935" t="s">
        <v>1583</v>
      </c>
      <c r="Q68" s="1887">
        <f ca="1">ROUND(Q69-Q70*Q71,0)</f>
        <v>0</v>
      </c>
      <c r="R68" s="1887" t="s">
        <v>1051</v>
      </c>
    </row>
    <row r="69" spans="1:18" s="1843" customFormat="1" ht="13.5" thickBot="1">
      <c r="A69" s="1171"/>
      <c r="B69" s="1172"/>
      <c r="C69" s="351"/>
      <c r="D69" s="1190" t="s">
        <v>1473</v>
      </c>
      <c r="E69" s="1170" t="s">
        <v>1474</v>
      </c>
      <c r="F69" s="379">
        <f ca="1">F41</f>
        <v>0</v>
      </c>
      <c r="O69" s="1895" t="s">
        <v>1048</v>
      </c>
      <c r="P69" s="1935" t="s">
        <v>1584</v>
      </c>
      <c r="Q69" s="1887">
        <f ca="1">C39</f>
        <v>0</v>
      </c>
      <c r="R69" s="1887" t="s">
        <v>1529</v>
      </c>
    </row>
    <row r="70" spans="1:18" s="1843" customFormat="1" ht="13.5" thickBot="1">
      <c r="A70" s="1174"/>
      <c r="B70" s="1175"/>
      <c r="C70" s="355"/>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2" t="e">
        <f ca="1">ROUND(C68/F71,0)</f>
        <v>#DIV/0!</v>
      </c>
      <c r="D71" s="1193" t="s">
        <v>1488</v>
      </c>
      <c r="E71" s="1194" t="s">
        <v>1489</v>
      </c>
      <c r="F71" s="385">
        <f ca="1">F43</f>
        <v>0</v>
      </c>
      <c r="O71" s="1895" t="s">
        <v>1050</v>
      </c>
      <c r="P71" s="1935" t="s">
        <v>1586</v>
      </c>
      <c r="Q71" s="1898">
        <f ca="1">C76</f>
        <v>0</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6" sqref="F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3052</v>
      </c>
      <c r="D1" s="1821" t="s">
        <v>70</v>
      </c>
      <c r="E1" s="1822" t="s">
        <v>1387</v>
      </c>
      <c r="F1" s="1284">
        <f ca="1">J53</f>
        <v>28.14</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24229</v>
      </c>
      <c r="C2" s="1846" t="s">
        <v>1516</v>
      </c>
      <c r="D2" s="1846"/>
      <c r="E2" s="1847"/>
      <c r="F2" s="1848"/>
      <c r="G2" s="1849"/>
      <c r="H2" s="1841"/>
      <c r="I2" s="1841"/>
      <c r="J2" s="1841"/>
      <c r="K2" s="1842"/>
      <c r="L2" s="1841"/>
      <c r="M2" s="1841"/>
    </row>
    <row r="3" spans="1:37" ht="18" customHeight="1" thickBot="1">
      <c r="A3" s="1850" t="s">
        <v>1517</v>
      </c>
      <c r="B3" s="1851">
        <f ca="1">IF(ISERROR(B2*10000/F43),0,ROUND(B2*10000/F43,0))</f>
        <v>11483</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1935</v>
      </c>
      <c r="D5" s="1823" t="s">
        <v>1402</v>
      </c>
      <c r="E5" s="1294"/>
      <c r="F5" s="1295"/>
      <c r="G5" s="1852"/>
      <c r="H5" s="344">
        <v>1</v>
      </c>
      <c r="I5" s="345" t="s">
        <v>1401</v>
      </c>
      <c r="J5" s="1293">
        <f ca="1">J6+J10+J12</f>
        <v>0</v>
      </c>
      <c r="K5" s="1823" t="s">
        <v>1402</v>
      </c>
      <c r="L5" s="1294"/>
      <c r="M5" s="1295"/>
    </row>
    <row r="6" spans="1:37" ht="18" customHeight="1">
      <c r="A6" s="1292" t="s">
        <v>1035</v>
      </c>
      <c r="B6" s="3153" t="s">
        <v>1403</v>
      </c>
      <c r="C6" s="1297">
        <f ca="1">ROUND(F6*F8*F7*(1-F9)/10000,0)</f>
        <v>1935</v>
      </c>
      <c r="D6" s="164" t="s">
        <v>3030</v>
      </c>
      <c r="E6" s="347" t="s">
        <v>1405</v>
      </c>
      <c r="F6" s="348">
        <f ca="1">INDIRECT("'数据-取费表'!u"&amp;$G$1)</f>
        <v>19350000</v>
      </c>
      <c r="G6" s="1852"/>
      <c r="H6" s="1292" t="s">
        <v>1035</v>
      </c>
      <c r="I6" s="3153" t="s">
        <v>1403</v>
      </c>
      <c r="J6" s="346">
        <f ca="1">ROUND(M6*M8*M7*(1-M9)/10000,0)</f>
        <v>0</v>
      </c>
      <c r="K6" s="164" t="s">
        <v>3029</v>
      </c>
      <c r="L6" s="347" t="s">
        <v>1405</v>
      </c>
      <c r="M6" s="348">
        <f ca="1">INDIRECT("'数据-取费表'!z"&amp;$G$1)</f>
        <v>0</v>
      </c>
    </row>
    <row r="7" spans="1:37" ht="18" customHeight="1">
      <c r="A7" s="1296"/>
      <c r="B7" s="3154"/>
      <c r="C7" s="1298"/>
      <c r="D7" s="352"/>
      <c r="E7" s="1299" t="s">
        <v>1406</v>
      </c>
      <c r="F7" s="348">
        <f ca="1">IF(INDIRECT("'数据-取费表'!ah"&amp;$G$1)="",INDIRECT("'数据-取费表'!k"&amp;$G$1),INDIRECT("'数据-取费表'!ah"&amp;$G$1))</f>
        <v>1</v>
      </c>
      <c r="G7" s="1852"/>
      <c r="H7" s="349"/>
      <c r="I7" s="3154"/>
      <c r="J7" s="351"/>
      <c r="K7" s="352"/>
      <c r="L7" s="347" t="s">
        <v>1406</v>
      </c>
      <c r="M7" s="348">
        <f ca="1">F7</f>
        <v>1</v>
      </c>
    </row>
    <row r="8" spans="1:37" ht="18" customHeight="1">
      <c r="A8" s="349"/>
      <c r="B8" s="3154"/>
      <c r="C8" s="351"/>
      <c r="D8" s="352"/>
      <c r="E8" s="347" t="s">
        <v>1407</v>
      </c>
      <c r="F8" s="348">
        <f ca="1">INDIRECT("'数据-取费表'!ai"&amp;$G$1)</f>
        <v>1</v>
      </c>
      <c r="G8" s="1852"/>
      <c r="H8" s="349"/>
      <c r="I8" s="3154"/>
      <c r="J8" s="351"/>
      <c r="K8" s="352"/>
      <c r="L8" s="347" t="s">
        <v>1407</v>
      </c>
      <c r="M8" s="348">
        <f ca="1">INDIRECT("'数据-取费表'!ai"&amp;$G$1)</f>
        <v>1</v>
      </c>
    </row>
    <row r="9" spans="1:37" ht="18" customHeight="1">
      <c r="A9" s="349"/>
      <c r="B9" s="3155"/>
      <c r="C9" s="351"/>
      <c r="D9" s="352"/>
      <c r="E9" s="347" t="s">
        <v>1408</v>
      </c>
      <c r="F9" s="357">
        <f ca="1">INDIRECT("'数据-取费表'!w"&amp;$G$1)</f>
        <v>0</v>
      </c>
      <c r="G9" s="1852"/>
      <c r="H9" s="349"/>
      <c r="I9" s="315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3039</v>
      </c>
      <c r="E10" s="358" t="s">
        <v>1410</v>
      </c>
      <c r="F10" s="1367" t="s">
        <v>3082</v>
      </c>
      <c r="G10" s="1852"/>
      <c r="H10" s="1292" t="s">
        <v>1039</v>
      </c>
      <c r="I10" s="1824" t="s">
        <v>1409</v>
      </c>
      <c r="J10" s="346">
        <f ca="1">ROUND(IF(M10="押一",J6/12*M11,IF(M10="押二",J6/12*2*M11,IF(M10="押三",J6/12*3*M11,J11*M11))),0)</f>
        <v>0</v>
      </c>
      <c r="K10" s="1825" t="s">
        <v>3038</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18315</v>
      </c>
      <c r="D13" s="1332" t="s">
        <v>1415</v>
      </c>
      <c r="E13" s="1332" t="s">
        <v>1416</v>
      </c>
      <c r="F13" s="1333">
        <f ca="1">INDIRECT("'数据-取费表'!y"&amp;$G$1)</f>
        <v>0.93333333333333335</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12660</v>
      </c>
      <c r="D14" s="1801" t="s">
        <v>1418</v>
      </c>
      <c r="E14" s="1795"/>
      <c r="F14" s="364"/>
      <c r="G14" s="1852"/>
      <c r="H14" s="1202" t="s">
        <v>1035</v>
      </c>
      <c r="I14" s="347" t="s">
        <v>1419</v>
      </c>
      <c r="J14" s="24">
        <f ca="1">C29</f>
        <v>19623</v>
      </c>
      <c r="K14" s="15"/>
      <c r="L14" s="980"/>
      <c r="M14" s="981"/>
    </row>
    <row r="15" spans="1:37" s="1859" customFormat="1" ht="18" customHeight="1" thickBot="1">
      <c r="A15" s="1202" t="s">
        <v>1036</v>
      </c>
      <c r="B15" s="347" t="s">
        <v>1420</v>
      </c>
      <c r="C15" s="24">
        <f ca="1">ROUND(C14*F15,0)</f>
        <v>380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560</v>
      </c>
      <c r="K16" s="1338" t="s">
        <v>1425</v>
      </c>
      <c r="L16" s="1339"/>
      <c r="M16" s="1295"/>
    </row>
    <row r="17" spans="1:37" s="1859" customFormat="1" ht="18" customHeight="1">
      <c r="A17" s="1202" t="s">
        <v>1390</v>
      </c>
      <c r="B17" s="347" t="s">
        <v>1426</v>
      </c>
      <c r="C17" s="24">
        <f ca="1">ROUND(F17*(F43+INDIRECT("'数据-取费表'!S"&amp;$G$1))/10000,0)</f>
        <v>422</v>
      </c>
      <c r="D17" s="347" t="s">
        <v>1427</v>
      </c>
      <c r="E17" s="347" t="s">
        <v>1428</v>
      </c>
      <c r="F17" s="26">
        <f>'数据-取费表'!B35</f>
        <v>200</v>
      </c>
      <c r="G17" s="1855"/>
      <c r="H17" s="1202" t="s">
        <v>1035</v>
      </c>
      <c r="I17" s="347" t="s">
        <v>1429</v>
      </c>
      <c r="J17" s="24">
        <f ca="1">ROUND(IF(项目基本情况!B11="自然人",J5*M17,J18+J19+J20),1)</f>
        <v>167.5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190</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13652</v>
      </c>
      <c r="D19" s="140" t="s">
        <v>1436</v>
      </c>
      <c r="E19" s="1819"/>
      <c r="F19" s="26"/>
      <c r="G19" s="1852"/>
      <c r="H19" s="1202" t="s">
        <v>1036</v>
      </c>
      <c r="I19" s="347" t="s">
        <v>1437</v>
      </c>
      <c r="J19" s="24">
        <f ca="1">IF(K19="按租金收入计税",ROUND(J5*M19,2),ROUND(C29*M19*0.7,2))</f>
        <v>164.83</v>
      </c>
      <c r="K19" s="1829" t="s">
        <v>1438</v>
      </c>
      <c r="L19" s="347" t="s">
        <v>1422</v>
      </c>
      <c r="M19" s="367">
        <f>IF(K19="按租金收入计税",'数据-取费表'!B51,'数据-取费表'!B50)</f>
        <v>1.2E-2</v>
      </c>
    </row>
    <row r="20" spans="1:37" s="1859" customFormat="1" ht="18" customHeight="1">
      <c r="A20" s="1202" t="s">
        <v>1039</v>
      </c>
      <c r="B20" s="347" t="s">
        <v>1439</v>
      </c>
      <c r="C20" s="24">
        <f ca="1">ROUND(C19*F20,0)</f>
        <v>273</v>
      </c>
      <c r="D20" s="369" t="s">
        <v>1440</v>
      </c>
      <c r="E20" s="347" t="s">
        <v>1422</v>
      </c>
      <c r="F20" s="367">
        <f>'数据-取费表'!B37</f>
        <v>0.02</v>
      </c>
      <c r="G20" s="1855"/>
      <c r="H20" s="1202" t="s">
        <v>1389</v>
      </c>
      <c r="I20" s="164" t="s">
        <v>1441</v>
      </c>
      <c r="J20" s="25">
        <f ca="1">ROUND(M20*M21/10000,2)</f>
        <v>2.64</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2203.91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ROUND(J14*M22,1)</f>
        <v>392.5</v>
      </c>
      <c r="K22" s="1799" t="s">
        <v>1450</v>
      </c>
      <c r="L22" s="347" t="s">
        <v>1422</v>
      </c>
      <c r="M22" s="374">
        <f ca="1">INDIRECT("'数据-取费表'!Ak"&amp;$G$1)</f>
        <v>0.02</v>
      </c>
    </row>
    <row r="23" spans="1:37" s="1859" customFormat="1" ht="18" customHeight="1">
      <c r="A23" s="1202" t="s">
        <v>1034</v>
      </c>
      <c r="B23" s="347" t="s">
        <v>1451</v>
      </c>
      <c r="C23" s="24">
        <f ca="1">IF('数据-取费表'!B22&lt;=1,ROUND(C19*F24*F23/2,0)+ROUND(C20*F24*F23/2,0),ROUND(C19*(POWER((1+F24),F23/2)-1),0)+ROUND(C20*(POWER((1+F24),F23/2)-1),0))</f>
        <v>661</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-560</v>
      </c>
      <c r="K25" s="1346" t="s">
        <v>1464</v>
      </c>
      <c r="L25" s="1347"/>
      <c r="M25" s="1348"/>
    </row>
    <row r="26" spans="1:37">
      <c r="A26" s="1202" t="s">
        <v>1034</v>
      </c>
      <c r="B26" s="347" t="s">
        <v>1465</v>
      </c>
      <c r="C26" s="24">
        <f ca="1">ROUND((C19+C20)*F26,0)</f>
        <v>3481</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19623</v>
      </c>
      <c r="D29" s="1343"/>
      <c r="E29" s="1341"/>
      <c r="F29" s="1344"/>
      <c r="G29" s="1855"/>
      <c r="H29" s="380" t="s">
        <v>1033</v>
      </c>
      <c r="I29" s="381" t="s">
        <v>1479</v>
      </c>
      <c r="J29" s="382">
        <f ca="1">ROUND(J26/(1+F40)^F41,0)</f>
        <v>0</v>
      </c>
      <c r="K29" s="383" t="s">
        <v>1480</v>
      </c>
      <c r="L29" s="384"/>
      <c r="M29" s="385">
        <f ca="1">INDIRECT("'数据-取费表'!k"&amp;$G$1)</f>
        <v>21099.64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806</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ROUND(IF(项目基本情况!B11="自然人",C5*F31,C32+C33+C34),1)</f>
        <v>338</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103.2</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232.2</v>
      </c>
      <c r="D33" s="1829" t="s">
        <v>3083</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2.64</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2203.91</v>
      </c>
      <c r="G35" s="1852"/>
      <c r="H35" s="745"/>
      <c r="I35" s="1861"/>
      <c r="J35" s="1862"/>
      <c r="K35" s="1863"/>
      <c r="L35" s="1860"/>
      <c r="M35" s="1860"/>
    </row>
    <row r="36" spans="1:18" ht="18" customHeight="1">
      <c r="A36" s="1353" t="s">
        <v>1039</v>
      </c>
      <c r="B36" s="347" t="s">
        <v>1449</v>
      </c>
      <c r="C36" s="24">
        <f ca="1">ROUND(C29*F36,1)</f>
        <v>392.5</v>
      </c>
      <c r="D36" s="1799" t="s">
        <v>1482</v>
      </c>
      <c r="E36" s="347" t="s">
        <v>1422</v>
      </c>
      <c r="F36" s="374">
        <f ca="1">INDIRECT("'数据-取费表'!Ak"&amp;$G$1)</f>
        <v>0.02</v>
      </c>
      <c r="G36" s="1852"/>
      <c r="H36" s="1860"/>
      <c r="I36" s="1861"/>
      <c r="J36" s="1862"/>
      <c r="K36" s="751"/>
      <c r="L36" s="1860"/>
      <c r="M36" s="1860"/>
    </row>
    <row r="37" spans="1:18" ht="18" customHeight="1">
      <c r="A37" s="1202" t="s">
        <v>1075</v>
      </c>
      <c r="B37" s="347" t="s">
        <v>1453</v>
      </c>
      <c r="C37" s="24">
        <f ca="1">ROUND(C13*F37,1)</f>
        <v>36.6</v>
      </c>
      <c r="D37" s="1799" t="s">
        <v>1454</v>
      </c>
      <c r="E37" s="347" t="s">
        <v>1455</v>
      </c>
      <c r="F37" s="376">
        <f ca="1">INDIRECT("'数据-取费表'!Al"&amp;$G$1)</f>
        <v>2E-3</v>
      </c>
      <c r="G37" s="1852"/>
      <c r="H37" s="1860"/>
      <c r="I37" s="1861"/>
      <c r="J37" s="1862"/>
      <c r="K37" s="751"/>
      <c r="L37" s="1860"/>
      <c r="M37" s="1860"/>
    </row>
    <row r="38" spans="1:18" ht="18" customHeight="1" thickBot="1">
      <c r="A38" s="1340" t="s">
        <v>1393</v>
      </c>
      <c r="B38" s="1341" t="s">
        <v>1439</v>
      </c>
      <c r="C38" s="1342">
        <f ca="1">ROUND(C5*F38,1)</f>
        <v>38.700000000000003</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5">
        <f ca="1">C5-C30</f>
        <v>1129</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23423</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28.14</v>
      </c>
      <c r="G41" s="1852"/>
      <c r="H41" s="732"/>
      <c r="I41" s="1861"/>
      <c r="J41" s="1862"/>
      <c r="K41" s="751"/>
      <c r="L41" s="732"/>
      <c r="M41" s="732"/>
    </row>
    <row r="42" spans="1:18" ht="18" customHeight="1">
      <c r="A42" s="353"/>
      <c r="B42" s="354"/>
      <c r="C42" s="355"/>
      <c r="D42" s="373"/>
      <c r="E42" s="347" t="s">
        <v>1477</v>
      </c>
      <c r="F42" s="357">
        <f ca="1">INDIRECT("'数据-取费表'!v"&amp;$G$1)</f>
        <v>0.04</v>
      </c>
      <c r="G42" s="1852"/>
      <c r="H42" s="732"/>
      <c r="I42" s="1861"/>
      <c r="J42" s="1862"/>
      <c r="K42" s="751"/>
      <c r="L42" s="732"/>
      <c r="M42" s="732"/>
    </row>
    <row r="43" spans="1:18" ht="18" customHeight="1" thickBot="1">
      <c r="A43" s="380" t="s">
        <v>1033</v>
      </c>
      <c r="B43" s="381" t="s">
        <v>1487</v>
      </c>
      <c r="C43" s="382">
        <f ca="1">ROUND(C40*10000/F43,0)</f>
        <v>11101</v>
      </c>
      <c r="D43" s="383" t="s">
        <v>1488</v>
      </c>
      <c r="E43" s="384" t="s">
        <v>1489</v>
      </c>
      <c r="F43" s="385">
        <f ca="1">INDIRECT("'数据-取费表'!k"&amp;$G$1)</f>
        <v>21099.64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-51363</v>
      </c>
      <c r="D46" s="1873" t="str">
        <f>C2</f>
        <v>万元</v>
      </c>
      <c r="E46" s="1867"/>
      <c r="F46" s="1867"/>
      <c r="I46" s="1874" t="s">
        <v>1521</v>
      </c>
      <c r="J46" s="1875"/>
      <c r="K46" s="1876"/>
      <c r="L46" s="1877">
        <f ca="1">IF(M47="住宅",0,IF(L48&gt;J51,L60,J60))</f>
        <v>806</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2"/>
      <c r="I47" s="1881" t="s">
        <v>1526</v>
      </c>
      <c r="J47" s="1882" t="s">
        <v>3084</v>
      </c>
      <c r="K47" s="1883" t="s">
        <v>1527</v>
      </c>
      <c r="L47" s="1884">
        <f ca="1">INDIRECT("'数据-取费表'!d"&amp;$G$1)</f>
        <v>40</v>
      </c>
      <c r="M47" s="1839" t="str">
        <f>IF(ISNUMBER(FIND("住宅",C1)),"住宅","非住宅")</f>
        <v>非住宅</v>
      </c>
      <c r="O47" s="1885" t="s">
        <v>1040</v>
      </c>
      <c r="P47" s="1886" t="s">
        <v>1528</v>
      </c>
      <c r="Q47" s="1887">
        <f ca="1">C40+J29</f>
        <v>23423</v>
      </c>
      <c r="R47" s="1887" t="s">
        <v>1529</v>
      </c>
    </row>
    <row r="48" spans="1:18" s="1843" customFormat="1" ht="28.5" thickBot="1">
      <c r="A48" s="1361" t="s">
        <v>1135</v>
      </c>
      <c r="B48" s="345" t="s">
        <v>1401</v>
      </c>
      <c r="C48" s="1818">
        <f ca="1">C49+C53+C55</f>
        <v>0</v>
      </c>
      <c r="D48" s="1363"/>
      <c r="E48" s="1364"/>
      <c r="F48" s="1182"/>
      <c r="G48" s="792"/>
      <c r="H48" s="793"/>
      <c r="I48" s="1888" t="s">
        <v>1530</v>
      </c>
      <c r="J48" s="1889" t="s">
        <v>3085</v>
      </c>
      <c r="K48" s="1890" t="s">
        <v>1531</v>
      </c>
      <c r="L48" s="1891">
        <f ca="1">INDIRECT("'数据-取费表'!f"&amp;$G$1)</f>
        <v>28.14</v>
      </c>
      <c r="O48" s="1885" t="s">
        <v>1041</v>
      </c>
      <c r="P48" s="1886" t="s">
        <v>1532</v>
      </c>
      <c r="Q48" s="1887">
        <f ca="1">J60</f>
        <v>806</v>
      </c>
      <c r="R48" s="1887" t="s">
        <v>1533</v>
      </c>
    </row>
    <row r="49" spans="1:18" s="1843" customFormat="1" ht="13.5" thickBot="1">
      <c r="A49" s="1195" t="s">
        <v>1136</v>
      </c>
      <c r="B49" s="1830" t="s">
        <v>1490</v>
      </c>
      <c r="C49" s="1365">
        <f ca="1">ROUND(F49*F51*F50*(1-F52)/10000,0)</f>
        <v>0</v>
      </c>
      <c r="D49" s="1277" t="s">
        <v>3031</v>
      </c>
      <c r="E49" s="1831" t="s">
        <v>1491</v>
      </c>
      <c r="F49" s="1282"/>
      <c r="G49" s="1892"/>
      <c r="H49" s="793"/>
      <c r="I49" s="1888" t="s">
        <v>1534</v>
      </c>
      <c r="J49" s="1893">
        <v>2014</v>
      </c>
      <c r="K49" s="1890" t="s">
        <v>1535</v>
      </c>
      <c r="L49" s="1894"/>
      <c r="O49" s="1895" t="s">
        <v>1042</v>
      </c>
      <c r="P49" s="1886" t="s">
        <v>1536</v>
      </c>
      <c r="Q49" s="1887">
        <f ca="1">C29</f>
        <v>19623</v>
      </c>
      <c r="R49" s="1887" t="s">
        <v>1529</v>
      </c>
    </row>
    <row r="50" spans="1:18" s="1843" customFormat="1" ht="13.5" thickBot="1">
      <c r="A50" s="1196"/>
      <c r="B50" s="1199"/>
      <c r="C50" s="1369"/>
      <c r="D50" s="1173"/>
      <c r="E50" s="1278" t="s">
        <v>1406</v>
      </c>
      <c r="F50" s="1279">
        <f ca="1">F7</f>
        <v>1</v>
      </c>
      <c r="H50" s="793"/>
      <c r="I50" s="1888" t="s">
        <v>1537</v>
      </c>
      <c r="J50" s="1896">
        <f>SUMPRODUCT((I63:I65=J47)*(J62:L62=J48)*(J63:L65))</f>
        <v>60</v>
      </c>
      <c r="K50" s="1890" t="s">
        <v>1538</v>
      </c>
      <c r="L50" s="1894"/>
      <c r="M50" s="1897"/>
      <c r="O50" s="1895" t="s">
        <v>1043</v>
      </c>
      <c r="P50" s="1886" t="s">
        <v>1539</v>
      </c>
      <c r="Q50" s="1898">
        <f ca="1">J58</f>
        <v>0.46400000000000002</v>
      </c>
      <c r="R50" s="1887"/>
    </row>
    <row r="51" spans="1:18" s="1843" customFormat="1" ht="13.5" thickBot="1">
      <c r="A51" s="1197"/>
      <c r="B51" s="1199"/>
      <c r="C51" s="1200"/>
      <c r="D51" s="1173"/>
      <c r="E51" s="1201" t="s">
        <v>1407</v>
      </c>
      <c r="F51" s="348">
        <f ca="1">F8</f>
        <v>1</v>
      </c>
      <c r="I51" s="1899" t="s">
        <v>1540</v>
      </c>
      <c r="J51" s="1900">
        <f>IF(J49="",J50,J49+J50-YEAR('数据-取费表'!B2))</f>
        <v>56</v>
      </c>
      <c r="K51" s="1901" t="s">
        <v>1541</v>
      </c>
      <c r="L51" s="1902">
        <f ca="1">ROUND(-PV(INDIRECT("'数据-取费表'!h"&amp;$G$1),L48,(C39-C13*C76),0),0)</f>
        <v>-6054</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28.14</v>
      </c>
      <c r="R52" s="1887" t="s">
        <v>1546</v>
      </c>
    </row>
    <row r="53" spans="1:18" s="1843" customFormat="1" ht="24.75" thickBot="1">
      <c r="A53" s="1406" t="s">
        <v>1137</v>
      </c>
      <c r="B53" s="1832" t="s">
        <v>1409</v>
      </c>
      <c r="C53" s="361">
        <f ca="1">ROUND(IF(F53="押一",C49/12*F11,IF(F53="押二",C49/12*2*F11,IF(F53="押三",C49/12*3*F11,C54*F11))),0)</f>
        <v>0</v>
      </c>
      <c r="D53" s="1825" t="s">
        <v>3038</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28.14</v>
      </c>
      <c r="K53" s="3151" t="s">
        <v>1548</v>
      </c>
      <c r="L53" s="3152"/>
      <c r="O53" s="1885" t="s">
        <v>1046</v>
      </c>
      <c r="P53" s="1886" t="s">
        <v>1549</v>
      </c>
      <c r="Q53" s="1887">
        <f ca="1">Q47+Q48</f>
        <v>24229</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0.46400000000000002</v>
      </c>
      <c r="K55" s="1913" t="s">
        <v>1552</v>
      </c>
      <c r="L55" s="1914" t="s">
        <v>1553</v>
      </c>
      <c r="O55" s="1878" t="s">
        <v>1522</v>
      </c>
      <c r="P55" s="1879" t="s">
        <v>1523</v>
      </c>
      <c r="Q55" s="1880" t="s">
        <v>1524</v>
      </c>
      <c r="R55" s="1880" t="s">
        <v>1525</v>
      </c>
    </row>
    <row r="56" spans="1:18" s="1843" customFormat="1" ht="25.5" thickTop="1" thickBot="1">
      <c r="A56" s="1177">
        <v>2</v>
      </c>
      <c r="B56" s="1178" t="s">
        <v>1414</v>
      </c>
      <c r="C56" s="276">
        <f ca="1">C13</f>
        <v>18315</v>
      </c>
      <c r="D56" s="1915"/>
      <c r="E56" s="1916"/>
      <c r="F56" s="1908"/>
      <c r="I56" s="1917" t="s">
        <v>1554</v>
      </c>
      <c r="J56" s="1918" t="s">
        <v>3086</v>
      </c>
      <c r="K56" s="1888" t="s">
        <v>1555</v>
      </c>
      <c r="L56" s="1891" t="str">
        <f ca="1">IF(L48&lt;J51,"——",L48-J53)</f>
        <v>——</v>
      </c>
      <c r="O56" s="1885" t="s">
        <v>1040</v>
      </c>
      <c r="P56" s="1886" t="s">
        <v>1528</v>
      </c>
      <c r="Q56" s="1887">
        <f ca="1">C40+J29</f>
        <v>23423</v>
      </c>
      <c r="R56" s="1887" t="s">
        <v>1529</v>
      </c>
    </row>
    <row r="57" spans="1:18" s="1843" customFormat="1" ht="24.75" thickBot="1">
      <c r="A57" s="1919"/>
      <c r="B57" s="1170" t="s">
        <v>1478</v>
      </c>
      <c r="C57" s="282">
        <f ca="1">C29</f>
        <v>19623</v>
      </c>
      <c r="D57" s="1920"/>
      <c r="E57" s="1921"/>
      <c r="F57" s="1922"/>
      <c r="I57" s="1923" t="s">
        <v>1556</v>
      </c>
      <c r="J57" s="1924">
        <f ca="1">IF(OR(M47="住宅",J51&lt;L48,J56="是"),"——",J51-L48)</f>
        <v>27.86</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8" t="s">
        <v>1424</v>
      </c>
      <c r="C58" s="361">
        <f ca="1">ROUND(C59+C64+C65+C66,0)</f>
        <v>2080</v>
      </c>
      <c r="D58" s="1180" t="s">
        <v>1425</v>
      </c>
      <c r="E58" s="1181"/>
      <c r="F58" s="1182"/>
      <c r="I58" s="1923" t="s">
        <v>1560</v>
      </c>
      <c r="J58" s="1925">
        <f ca="1">IF(J55&lt;0.4,0.4,J55)</f>
        <v>0.46400000000000002</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1651</v>
      </c>
      <c r="D59" s="1183" t="s">
        <v>1430</v>
      </c>
      <c r="E59" s="1184" t="s">
        <v>1431</v>
      </c>
      <c r="F59" s="368" t="str">
        <f ca="1">IF(项目基本情况!B11="企业","",IF(INDIRECT("'数据-取费表'!c"&amp;$G$1)="住宅",5%,IF(F49*F50*F51/12/(1+'数据-取费表'!C42)&gt;20000,12%,7%)))</f>
        <v/>
      </c>
      <c r="I59" s="1923" t="s">
        <v>1563</v>
      </c>
      <c r="J59" s="1924">
        <f ca="1">IF(OR(M47="住宅",J51&lt;L48,J56="是"),"——",ROUND(C29*J58,0))</f>
        <v>9105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806</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1648.33</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2.64</v>
      </c>
      <c r="D62" s="1185" t="s">
        <v>1497</v>
      </c>
      <c r="E62" s="1170" t="s">
        <v>1498</v>
      </c>
      <c r="F62" s="371">
        <f t="shared" si="0"/>
        <v>12</v>
      </c>
      <c r="I62" s="1930" t="s">
        <v>1570</v>
      </c>
      <c r="J62" s="1931" t="s">
        <v>1571</v>
      </c>
      <c r="K62" s="1931" t="s">
        <v>1572</v>
      </c>
      <c r="L62" s="1931" t="s">
        <v>1573</v>
      </c>
      <c r="M62" s="1932" t="s">
        <v>1574</v>
      </c>
      <c r="O62" s="1885" t="s">
        <v>1046</v>
      </c>
      <c r="P62" s="1886" t="s">
        <v>1575</v>
      </c>
      <c r="Q62" s="1887">
        <f ca="1">Q56+Q57</f>
        <v>23423</v>
      </c>
      <c r="R62" s="1887" t="s">
        <v>1047</v>
      </c>
    </row>
    <row r="63" spans="1:18" s="1843" customFormat="1" ht="13.5" thickBot="1">
      <c r="A63" s="372"/>
      <c r="B63" s="1176"/>
      <c r="C63" s="29"/>
      <c r="D63" s="1186"/>
      <c r="E63" s="1170" t="s">
        <v>1499</v>
      </c>
      <c r="F63" s="348">
        <f t="shared" ca="1" si="0"/>
        <v>2203.91</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392.5</v>
      </c>
      <c r="D64" s="1184" t="s">
        <v>1502</v>
      </c>
      <c r="E64" s="1170" t="s">
        <v>1494</v>
      </c>
      <c r="F64" s="374">
        <f t="shared" ca="1" si="0"/>
        <v>0.02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36.6</v>
      </c>
      <c r="D65" s="1184" t="s">
        <v>1454</v>
      </c>
      <c r="E65" s="1170" t="s">
        <v>1455</v>
      </c>
      <c r="F65" s="376">
        <f t="shared" ca="1" si="0"/>
        <v>2E-3</v>
      </c>
      <c r="I65" s="1930" t="s">
        <v>1579</v>
      </c>
      <c r="J65" s="1931">
        <v>40</v>
      </c>
      <c r="K65" s="1931">
        <v>30</v>
      </c>
      <c r="L65" s="1931">
        <v>50</v>
      </c>
      <c r="M65" s="1933">
        <v>0.02</v>
      </c>
      <c r="O65" s="1885" t="s">
        <v>1040</v>
      </c>
      <c r="P65" s="1886" t="s">
        <v>1580</v>
      </c>
      <c r="Q65" s="1887">
        <f ca="1">C40+J29</f>
        <v>23423</v>
      </c>
      <c r="R65" s="1887" t="s">
        <v>1529</v>
      </c>
    </row>
    <row r="66" spans="1:18" s="1843" customFormat="1" ht="16.5" thickBot="1">
      <c r="A66" s="1202" t="s">
        <v>1504</v>
      </c>
      <c r="B66" s="1170" t="s">
        <v>1439</v>
      </c>
      <c r="C66" s="24">
        <f ca="1">ROUND(C48*F66,1)</f>
        <v>0</v>
      </c>
      <c r="D66" s="1184" t="s">
        <v>1505</v>
      </c>
      <c r="E66" s="1170" t="s">
        <v>1422</v>
      </c>
      <c r="F66" s="357">
        <f t="shared" ca="1" si="0"/>
        <v>0.02</v>
      </c>
      <c r="O66" s="1885" t="s">
        <v>1041</v>
      </c>
      <c r="P66" s="1886" t="s">
        <v>1558</v>
      </c>
      <c r="Q66" s="1887">
        <f ca="1">L60</f>
        <v>0</v>
      </c>
      <c r="R66" s="1887" t="s">
        <v>1581</v>
      </c>
    </row>
    <row r="67" spans="1:18" s="1843" customFormat="1" ht="16.5" thickBot="1">
      <c r="A67" s="1177" t="s">
        <v>1031</v>
      </c>
      <c r="B67" s="1187" t="s">
        <v>1463</v>
      </c>
      <c r="C67" s="361">
        <f ca="1">C48-C58</f>
        <v>-2080</v>
      </c>
      <c r="D67" s="1183" t="s">
        <v>1464</v>
      </c>
      <c r="E67" s="1188"/>
      <c r="F67" s="1189"/>
      <c r="O67" s="1895" t="s">
        <v>1042</v>
      </c>
      <c r="P67" s="1886" t="s">
        <v>1562</v>
      </c>
      <c r="Q67" s="1934">
        <f ca="1">L51</f>
        <v>-6054</v>
      </c>
      <c r="R67" s="1887" t="s">
        <v>1582</v>
      </c>
    </row>
    <row r="68" spans="1:18" s="1843" customFormat="1" ht="16.5" thickBot="1">
      <c r="A68" s="1167" t="s">
        <v>1032</v>
      </c>
      <c r="B68" s="1168" t="s">
        <v>1485</v>
      </c>
      <c r="C68" s="346">
        <f ca="1">ROUND(C67*(1-((1+F70)/(1+F68))^F69)/(F68-F70),0)</f>
        <v>-27940</v>
      </c>
      <c r="D68" s="1185" t="s">
        <v>1469</v>
      </c>
      <c r="E68" s="1170" t="s">
        <v>1470</v>
      </c>
      <c r="F68" s="357">
        <f ca="1">F40</f>
        <v>0.06</v>
      </c>
      <c r="O68" s="1895" t="s">
        <v>1043</v>
      </c>
      <c r="P68" s="1935" t="s">
        <v>1583</v>
      </c>
      <c r="Q68" s="1887">
        <f ca="1">ROUND(Q69-Q70*Q71,0)</f>
        <v>-428</v>
      </c>
      <c r="R68" s="1887" t="s">
        <v>1051</v>
      </c>
    </row>
    <row r="69" spans="1:18" s="1843" customFormat="1" ht="13.5" thickBot="1">
      <c r="A69" s="1171"/>
      <c r="B69" s="1172"/>
      <c r="C69" s="351"/>
      <c r="D69" s="1190" t="s">
        <v>1473</v>
      </c>
      <c r="E69" s="1170" t="s">
        <v>1474</v>
      </c>
      <c r="F69" s="379">
        <f ca="1">F41</f>
        <v>28.14</v>
      </c>
      <c r="O69" s="1895" t="s">
        <v>1048</v>
      </c>
      <c r="P69" s="1935" t="s">
        <v>1584</v>
      </c>
      <c r="Q69" s="1887">
        <f ca="1">C39</f>
        <v>1129</v>
      </c>
      <c r="R69" s="1887" t="s">
        <v>1529</v>
      </c>
    </row>
    <row r="70" spans="1:18" s="1843" customFormat="1" ht="13.5" thickBot="1">
      <c r="A70" s="1174"/>
      <c r="B70" s="1175"/>
      <c r="C70" s="355"/>
      <c r="D70" s="1186"/>
      <c r="E70" s="1170" t="s">
        <v>1477</v>
      </c>
      <c r="F70" s="1276"/>
      <c r="O70" s="1895" t="s">
        <v>1049</v>
      </c>
      <c r="P70" s="1935" t="s">
        <v>1585</v>
      </c>
      <c r="Q70" s="1887">
        <f ca="1">C13</f>
        <v>18315</v>
      </c>
      <c r="R70" s="1887" t="s">
        <v>1529</v>
      </c>
    </row>
    <row r="71" spans="1:18" s="1843" customFormat="1" ht="13.5" thickBot="1">
      <c r="A71" s="1191" t="s">
        <v>1033</v>
      </c>
      <c r="B71" s="1192" t="s">
        <v>1487</v>
      </c>
      <c r="C71" s="382">
        <f ca="1">ROUND(C68*10000/F71,0)</f>
        <v>-13242</v>
      </c>
      <c r="D71" s="1193" t="s">
        <v>1488</v>
      </c>
      <c r="E71" s="1194" t="s">
        <v>1489</v>
      </c>
      <c r="F71" s="385">
        <f ca="1">F43</f>
        <v>21099.64</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1557</v>
      </c>
      <c r="D75" s="1843"/>
      <c r="E75" s="1843"/>
      <c r="F75" s="1843"/>
      <c r="K75" s="1869"/>
      <c r="L75" s="1843"/>
      <c r="O75" s="1885" t="s">
        <v>1046</v>
      </c>
      <c r="P75" s="1886" t="s">
        <v>1549</v>
      </c>
      <c r="Q75" s="1887">
        <f ca="1">Q65+Q66</f>
        <v>23423</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-0.379</v>
      </c>
    </row>
    <row r="80" spans="1:18">
      <c r="B80" s="386" t="s">
        <v>1511</v>
      </c>
      <c r="C80" s="318">
        <f ca="1">ROUND(C75/C39,3)</f>
        <v>1.379</v>
      </c>
    </row>
    <row r="81" spans="2:3">
      <c r="B81" s="314" t="s">
        <v>1512</v>
      </c>
      <c r="C81" s="282"/>
    </row>
    <row r="82" spans="2:3">
      <c r="B82" s="317" t="s">
        <v>1513</v>
      </c>
      <c r="C82" s="319">
        <f ca="1">1-C83</f>
        <v>0.21799999999999997</v>
      </c>
    </row>
    <row r="83" spans="2:3">
      <c r="B83" s="317" t="s">
        <v>1514</v>
      </c>
      <c r="C83" s="318">
        <f ca="1">ROUND(C13/C40,3)</f>
        <v>0.78200000000000003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1"/>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4038.2</v>
      </c>
      <c r="E1" s="3160"/>
      <c r="F1" s="3160"/>
      <c r="G1" s="3160"/>
      <c r="H1" s="3160"/>
      <c r="I1" s="3161"/>
    </row>
    <row r="2" spans="1:9">
      <c r="A2" s="3162" t="s">
        <v>1077</v>
      </c>
      <c r="B2" s="3163" t="s">
        <v>1078</v>
      </c>
      <c r="C2" s="3163"/>
      <c r="D2" s="1302" t="s">
        <v>1079</v>
      </c>
      <c r="E2" s="1302" t="s">
        <v>1080</v>
      </c>
      <c r="F2" s="1302" t="s">
        <v>1081</v>
      </c>
      <c r="G2" s="1302" t="s">
        <v>1082</v>
      </c>
      <c r="H2" s="1302" t="s">
        <v>1083</v>
      </c>
      <c r="I2" s="1303" t="s">
        <v>1084</v>
      </c>
    </row>
    <row r="3" spans="1:9">
      <c r="A3" s="3162"/>
      <c r="B3" s="3163" t="s">
        <v>1085</v>
      </c>
      <c r="C3" s="3163"/>
      <c r="D3" s="1304">
        <v>138</v>
      </c>
      <c r="E3" s="1302">
        <v>881</v>
      </c>
      <c r="F3" s="1305">
        <v>1</v>
      </c>
      <c r="G3" s="1305">
        <v>0.7</v>
      </c>
      <c r="H3" s="1306">
        <v>365</v>
      </c>
      <c r="I3" s="1307">
        <f>ROUND(D3*E3*F3*G3*H3/10000,0)</f>
        <v>3106</v>
      </c>
    </row>
    <row r="4" spans="1:9">
      <c r="A4" s="3162"/>
      <c r="B4" s="3163" t="s">
        <v>1086</v>
      </c>
      <c r="C4" s="3163"/>
      <c r="D4" s="1304"/>
      <c r="E4" s="1302"/>
      <c r="F4" s="1305"/>
      <c r="G4" s="1305"/>
      <c r="H4" s="1306"/>
      <c r="I4" s="1307">
        <f t="shared" ref="I4:I9" si="0">ROUND(D4*E4*F4*G4*H4/10000,0)</f>
        <v>0</v>
      </c>
    </row>
    <row r="5" spans="1:9">
      <c r="A5" s="3162"/>
      <c r="B5" s="3163" t="s">
        <v>1087</v>
      </c>
      <c r="C5" s="3163"/>
      <c r="D5" s="1304"/>
      <c r="E5" s="1302"/>
      <c r="F5" s="1305"/>
      <c r="G5" s="1305"/>
      <c r="H5" s="1306"/>
      <c r="I5" s="1307">
        <f t="shared" si="0"/>
        <v>0</v>
      </c>
    </row>
    <row r="6" spans="1:9">
      <c r="A6" s="3162"/>
      <c r="B6" s="3163" t="s">
        <v>1088</v>
      </c>
      <c r="C6" s="3163"/>
      <c r="D6" s="1304"/>
      <c r="E6" s="1302"/>
      <c r="F6" s="1305"/>
      <c r="G6" s="1305"/>
      <c r="H6" s="1306"/>
      <c r="I6" s="1307">
        <f t="shared" si="0"/>
        <v>0</v>
      </c>
    </row>
    <row r="7" spans="1:9">
      <c r="A7" s="3162"/>
      <c r="B7" s="3163" t="s">
        <v>1089</v>
      </c>
      <c r="C7" s="3163"/>
      <c r="D7" s="1304"/>
      <c r="E7" s="1302"/>
      <c r="F7" s="1305"/>
      <c r="G7" s="1305"/>
      <c r="H7" s="1306"/>
      <c r="I7" s="1307">
        <f t="shared" si="0"/>
        <v>0</v>
      </c>
    </row>
    <row r="8" spans="1:9">
      <c r="A8" s="3162"/>
      <c r="B8" s="3163" t="s">
        <v>1090</v>
      </c>
      <c r="C8" s="3163"/>
      <c r="D8" s="1304"/>
      <c r="E8" s="1302"/>
      <c r="F8" s="1305"/>
      <c r="G8" s="1305"/>
      <c r="H8" s="1306"/>
      <c r="I8" s="1307">
        <f t="shared" si="0"/>
        <v>0</v>
      </c>
    </row>
    <row r="9" spans="1:9">
      <c r="A9" s="3162"/>
      <c r="B9" s="3163" t="s">
        <v>1091</v>
      </c>
      <c r="C9" s="3163"/>
      <c r="D9" s="1304"/>
      <c r="E9" s="1302"/>
      <c r="F9" s="1305"/>
      <c r="G9" s="1305"/>
      <c r="H9" s="1306"/>
      <c r="I9" s="1307">
        <f t="shared" si="0"/>
        <v>0</v>
      </c>
    </row>
    <row r="10" spans="1:9">
      <c r="A10" s="3162"/>
      <c r="B10" s="3164" t="s">
        <v>1092</v>
      </c>
      <c r="C10" s="3164"/>
      <c r="D10" s="1308"/>
      <c r="E10" s="1308" t="e">
        <f>ROUND(D1*10000/D10/H9,0)</f>
        <v>#DIV/0!</v>
      </c>
      <c r="F10" s="1309"/>
      <c r="G10" s="1309"/>
      <c r="H10" s="1310"/>
      <c r="I10" s="1311">
        <f>SUM(I3:I9)</f>
        <v>3106</v>
      </c>
    </row>
    <row r="11" spans="1:9" ht="14.25">
      <c r="A11" s="3162" t="s">
        <v>1093</v>
      </c>
      <c r="B11" s="3163" t="s">
        <v>1094</v>
      </c>
      <c r="C11" s="3163"/>
      <c r="D11" s="1304" t="s">
        <v>1095</v>
      </c>
      <c r="E11" s="1304" t="s">
        <v>1096</v>
      </c>
      <c r="F11" s="1305" t="s">
        <v>1097</v>
      </c>
      <c r="G11" s="1305" t="s">
        <v>1083</v>
      </c>
      <c r="H11" s="1312" t="s">
        <v>1098</v>
      </c>
      <c r="I11" s="1303" t="s">
        <v>1084</v>
      </c>
    </row>
    <row r="12" spans="1:9">
      <c r="A12" s="3162"/>
      <c r="B12" s="3163" t="s">
        <v>1099</v>
      </c>
      <c r="C12" s="3163"/>
      <c r="D12" s="1304"/>
      <c r="E12" s="1304"/>
      <c r="F12" s="1305"/>
      <c r="G12" s="1306"/>
      <c r="H12" s="1313"/>
      <c r="I12" s="1303">
        <f>ROUND(D12*E12*F12*G12/10000,0)</f>
        <v>0</v>
      </c>
    </row>
    <row r="13" spans="1:9">
      <c r="A13" s="3162"/>
      <c r="B13" s="3163" t="s">
        <v>1100</v>
      </c>
      <c r="C13" s="3163"/>
      <c r="D13" s="1304"/>
      <c r="E13" s="1304"/>
      <c r="F13" s="1305"/>
      <c r="G13" s="1306"/>
      <c r="H13" s="1313"/>
      <c r="I13" s="1303">
        <f>ROUND(D13*E13*F13*G13/10000,0)</f>
        <v>0</v>
      </c>
    </row>
    <row r="14" spans="1:9">
      <c r="A14" s="3162"/>
      <c r="B14" s="3163" t="s">
        <v>1101</v>
      </c>
      <c r="C14" s="3163"/>
      <c r="D14" s="1304"/>
      <c r="E14" s="1304"/>
      <c r="F14" s="1305"/>
      <c r="G14" s="1306"/>
      <c r="H14" s="1313"/>
      <c r="I14" s="1303">
        <f>ROUND(D14*E14*F14*G14/10000,0)</f>
        <v>0</v>
      </c>
    </row>
    <row r="15" spans="1:9">
      <c r="A15" s="3162"/>
      <c r="B15" s="3164" t="s">
        <v>1092</v>
      </c>
      <c r="C15" s="3164"/>
      <c r="D15" s="1308"/>
      <c r="E15" s="1308">
        <f>SUM(E12:E14)</f>
        <v>0</v>
      </c>
      <c r="F15" s="1309"/>
      <c r="G15" s="1306"/>
      <c r="H15" s="1313"/>
      <c r="I15" s="1314">
        <f>I10*10%</f>
        <v>310.60000000000002</v>
      </c>
    </row>
    <row r="16" spans="1:9" ht="24">
      <c r="A16" s="3162" t="s">
        <v>1102</v>
      </c>
      <c r="B16" s="3163" t="s">
        <v>1103</v>
      </c>
      <c r="C16" s="3163"/>
      <c r="D16" s="1304" t="s">
        <v>1079</v>
      </c>
      <c r="E16" s="1315" t="s">
        <v>1104</v>
      </c>
      <c r="F16" s="1305" t="s">
        <v>1105</v>
      </c>
      <c r="G16" s="1306" t="s">
        <v>1083</v>
      </c>
      <c r="H16" s="1312" t="s">
        <v>1098</v>
      </c>
      <c r="I16" s="1303" t="s">
        <v>1084</v>
      </c>
    </row>
    <row r="17" spans="1:9" ht="14.25">
      <c r="A17" s="3162"/>
      <c r="B17" s="3163" t="s">
        <v>1106</v>
      </c>
      <c r="C17" s="3163"/>
      <c r="D17" s="1304"/>
      <c r="E17" s="1304"/>
      <c r="F17" s="1305"/>
      <c r="G17" s="1306"/>
      <c r="H17" s="1316"/>
      <c r="I17" s="1317">
        <f>ROUND(D17*E17*F17*G17/10000,0)</f>
        <v>0</v>
      </c>
    </row>
    <row r="18" spans="1:9" ht="14.25">
      <c r="A18" s="3162"/>
      <c r="B18" s="3163" t="s">
        <v>1107</v>
      </c>
      <c r="C18" s="3163"/>
      <c r="D18" s="1304"/>
      <c r="E18" s="1304"/>
      <c r="F18" s="1305"/>
      <c r="G18" s="1306"/>
      <c r="H18" s="1316"/>
      <c r="I18" s="1317">
        <f>ROUND(D18*E18*F18*G18/10000,0)</f>
        <v>0</v>
      </c>
    </row>
    <row r="19" spans="1:9" ht="14.25">
      <c r="A19" s="3162"/>
      <c r="B19" s="3163" t="s">
        <v>1108</v>
      </c>
      <c r="C19" s="3163"/>
      <c r="D19" s="1304"/>
      <c r="E19" s="1304"/>
      <c r="F19" s="1305"/>
      <c r="G19" s="1306"/>
      <c r="H19" s="1316"/>
      <c r="I19" s="1317">
        <f>ROUND(D19*E19*F19*G19/10000,0)</f>
        <v>0</v>
      </c>
    </row>
    <row r="20" spans="1:9">
      <c r="A20" s="3162"/>
      <c r="B20" s="3164" t="s">
        <v>1092</v>
      </c>
      <c r="C20" s="3164"/>
      <c r="D20" s="1308">
        <f>SUM(D17:D19)</f>
        <v>0</v>
      </c>
      <c r="E20" s="1308"/>
      <c r="F20" s="1309"/>
      <c r="G20" s="1306"/>
      <c r="H20" s="1313"/>
      <c r="I20" s="1314">
        <f>I15</f>
        <v>310.60000000000002</v>
      </c>
    </row>
    <row r="21" spans="1:9">
      <c r="A21" s="3162" t="s">
        <v>1109</v>
      </c>
      <c r="B21" s="3166"/>
      <c r="C21" s="3166"/>
      <c r="D21" s="3166"/>
      <c r="E21" s="3166"/>
      <c r="F21" s="3166"/>
      <c r="G21" s="3166"/>
      <c r="H21" s="1766">
        <v>0.1</v>
      </c>
      <c r="I21" s="1311">
        <f>ROUND(I10*H21,0)</f>
        <v>311</v>
      </c>
    </row>
    <row r="22" spans="1:9" ht="14.25">
      <c r="A22" s="3167" t="s">
        <v>1110</v>
      </c>
      <c r="B22" s="3168"/>
      <c r="C22" s="3169"/>
      <c r="D22" s="1318" t="s">
        <v>1111</v>
      </c>
      <c r="E22" s="1318" t="s">
        <v>1112</v>
      </c>
      <c r="F22" s="1319" t="s">
        <v>1113</v>
      </c>
      <c r="G22" s="1319" t="s">
        <v>1114</v>
      </c>
      <c r="H22" s="1312" t="s">
        <v>1115</v>
      </c>
      <c r="I22" s="1303" t="s">
        <v>1116</v>
      </c>
    </row>
    <row r="23" spans="1:9" ht="14.25" thickBot="1">
      <c r="A23" s="3170"/>
      <c r="B23" s="3171"/>
      <c r="C23" s="3172"/>
      <c r="D23" s="1320"/>
      <c r="E23" s="1320"/>
      <c r="F23" s="1320"/>
      <c r="G23" s="1321"/>
      <c r="H23" s="1322"/>
      <c r="I23" s="1323">
        <f>ROUND(E23*D23*F23*(1-G23)/10000,0)</f>
        <v>0</v>
      </c>
    </row>
    <row r="26" spans="1:9">
      <c r="A26" s="1324" t="s">
        <v>1117</v>
      </c>
      <c r="B26" s="1324"/>
      <c r="C26" s="1324"/>
      <c r="D26" s="1324"/>
      <c r="E26" s="3173">
        <f>C27-C30-C31-C32</f>
        <v>1935</v>
      </c>
      <c r="F26" s="3173"/>
      <c r="G26" s="3173"/>
      <c r="H26" s="1738" t="s">
        <v>1340</v>
      </c>
    </row>
    <row r="27" spans="1:9">
      <c r="A27" s="1325">
        <v>1</v>
      </c>
      <c r="B27" s="1326" t="s">
        <v>1118</v>
      </c>
      <c r="C27" s="1326">
        <f>ROUND(35699930.81/10000*1.1,0)</f>
        <v>3927</v>
      </c>
      <c r="D27" s="1326"/>
      <c r="E27" s="3174"/>
      <c r="F27" s="3174"/>
      <c r="G27" s="3174"/>
    </row>
    <row r="28" spans="1:9">
      <c r="A28" s="1327" t="s">
        <v>1119</v>
      </c>
      <c r="B28" s="1326" t="s">
        <v>1120</v>
      </c>
      <c r="C28" s="1326"/>
      <c r="D28" s="1326"/>
      <c r="E28" s="3174"/>
      <c r="F28" s="3174"/>
      <c r="G28" s="3174"/>
    </row>
    <row r="29" spans="1:9">
      <c r="A29" s="1327" t="s">
        <v>1121</v>
      </c>
      <c r="B29" s="1326" t="s">
        <v>1122</v>
      </c>
      <c r="C29" s="1326"/>
      <c r="D29" s="1326"/>
      <c r="E29" s="1326" t="s">
        <v>1123</v>
      </c>
      <c r="F29" s="1326"/>
      <c r="G29" s="1326"/>
    </row>
    <row r="30" spans="1:9">
      <c r="A30" s="1325">
        <v>2</v>
      </c>
      <c r="B30" s="1326" t="s">
        <v>1124</v>
      </c>
      <c r="C30" s="1326">
        <f>ROUND(17956753.27/10000,0)</f>
        <v>1796</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ROUND(C27*D32,0)</f>
        <v>196</v>
      </c>
      <c r="D32" s="1328">
        <v>0.05</v>
      </c>
      <c r="E32" s="3165"/>
      <c r="F32" s="3165"/>
      <c r="G32" s="3165"/>
    </row>
    <row r="33" spans="1:7" hidden="1">
      <c r="A33" s="3175" t="s">
        <v>1129</v>
      </c>
      <c r="B33" s="3176"/>
      <c r="C33" s="3176"/>
      <c r="D33" s="3177"/>
      <c r="E33" s="3173"/>
      <c r="F33" s="3173"/>
      <c r="G33" s="3173"/>
    </row>
    <row r="34" spans="1:7" hidden="1">
      <c r="A34" s="1329">
        <v>1</v>
      </c>
      <c r="B34" s="1326" t="s">
        <v>1130</v>
      </c>
      <c r="C34" s="1326"/>
      <c r="D34" s="1326"/>
      <c r="E34" s="3174"/>
      <c r="F34" s="3174"/>
      <c r="G34" s="3174"/>
    </row>
    <row r="35" spans="1:7" hidden="1">
      <c r="A35" s="1329">
        <v>2</v>
      </c>
      <c r="B35" s="1326" t="s">
        <v>1131</v>
      </c>
      <c r="C35" s="1326"/>
      <c r="D35" s="1326"/>
      <c r="E35" s="3174"/>
      <c r="F35" s="3174"/>
      <c r="G35" s="3174"/>
    </row>
    <row r="36" spans="1:7" hidden="1">
      <c r="A36" s="1329">
        <v>3</v>
      </c>
      <c r="B36" s="1326" t="s">
        <v>1132</v>
      </c>
      <c r="C36" s="1326"/>
      <c r="D36" s="1326"/>
      <c r="E36" s="3174"/>
      <c r="F36" s="3174"/>
      <c r="G36" s="3174"/>
    </row>
    <row r="37" spans="1:7" hidden="1">
      <c r="A37" s="1329">
        <v>4</v>
      </c>
      <c r="B37" s="1326" t="s">
        <v>1133</v>
      </c>
      <c r="C37" s="1326"/>
      <c r="D37" s="1326"/>
      <c r="E37" s="3174"/>
      <c r="F37" s="3174"/>
      <c r="G37" s="3174"/>
    </row>
    <row r="38" spans="1:7" hidden="1">
      <c r="A38" s="3175" t="s">
        <v>1134</v>
      </c>
      <c r="B38" s="3176"/>
      <c r="C38" s="3176"/>
      <c r="D38" s="3177"/>
      <c r="E38" s="3173"/>
      <c r="F38" s="3173"/>
      <c r="G38" s="3173"/>
    </row>
    <row r="41" spans="1:7">
      <c r="E41">
        <f>C27/365/'数据-汇总表'!F20</f>
        <v>6.3343972846389008E-4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北京万国城酒店运营管理有限公司：</v>
      </c>
    </row>
    <row r="4" spans="1:1" ht="36">
      <c r="A4" s="1949" t="str">
        <f>"受贵公司委托，我公司对"&amp;项目基本情况!S1&amp;"进行了预评估。"</f>
        <v>受贵公司委托，我公司对北京市东城区香河园街1号11号楼房地产抵押价值进行了预评估。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为估价委托人在向工商银行总行北京分行东城支行办理贷款手续过程中，确定房地产抵押贷款额度提供参考依据而评估房地产抵押价值。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2018年12月24日（评估专业人员实地查勘之日）</v>
      </c>
    </row>
    <row r="16" spans="1:1" ht="18.75">
      <c r="A16" s="1954" t="s">
        <v>1619</v>
      </c>
    </row>
    <row r="17" spans="1:1" ht="75">
      <c r="A17" s="1949" t="s">
        <v>1620</v>
      </c>
    </row>
    <row r="18" spans="1:1" ht="36">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2" t="s">
        <v>2527</v>
      </c>
      <c r="C1" s="1635" t="s">
        <v>2528</v>
      </c>
      <c r="D1" s="1622"/>
      <c r="E1" s="2583"/>
      <c r="F1" s="2584" t="s">
        <v>2529</v>
      </c>
      <c r="G1" s="1632" t="s">
        <v>2530</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6"/>
      <c r="D2" s="1366" t="e">
        <f ca="1">SUMIF(INDIRECT("'"&amp;F2&amp;"'"&amp;"!A:A"),"承租人权益价值",INDIRECT("'"&amp;F2&amp;"'"&amp;"!c:c"))</f>
        <v>#REF!</v>
      </c>
      <c r="E2" s="2587" t="s">
        <v>2531</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50120.32</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401" t="s">
        <v>2533</v>
      </c>
      <c r="B4" s="402"/>
      <c r="C4" s="3196" t="s">
        <v>2534</v>
      </c>
      <c r="D4" s="3197"/>
      <c r="E4" s="3198" t="s">
        <v>2535</v>
      </c>
      <c r="F4" s="3199"/>
      <c r="G4" s="3196" t="s">
        <v>2536</v>
      </c>
      <c r="H4" s="3197"/>
      <c r="I4" s="3196" t="s">
        <v>2537</v>
      </c>
      <c r="J4" s="3197"/>
      <c r="K4" s="2596" t="s">
        <v>2538</v>
      </c>
      <c r="L4" s="1131"/>
      <c r="M4" s="1132"/>
      <c r="N4" s="1132"/>
      <c r="O4" s="1132"/>
      <c r="P4" s="3200" t="s">
        <v>2539</v>
      </c>
      <c r="Q4" s="3201"/>
      <c r="R4" s="3183" t="s">
        <v>2535</v>
      </c>
      <c r="S4" s="3184"/>
      <c r="T4" s="3183" t="s">
        <v>2536</v>
      </c>
      <c r="U4" s="3184"/>
      <c r="V4" s="3208" t="s">
        <v>2537</v>
      </c>
      <c r="W4" s="3208"/>
      <c r="X4" s="1814"/>
      <c r="Y4" s="3183" t="s">
        <v>2539</v>
      </c>
      <c r="Z4" s="3184"/>
      <c r="AA4" s="3178" t="s">
        <v>2535</v>
      </c>
      <c r="AB4" s="3178" t="s">
        <v>2536</v>
      </c>
      <c r="AC4" s="3178" t="s">
        <v>2537</v>
      </c>
    </row>
    <row r="5" spans="1:29" ht="15">
      <c r="A5" s="404"/>
      <c r="B5" s="405"/>
      <c r="C5" s="3189" t="s">
        <v>2540</v>
      </c>
      <c r="D5" s="3190"/>
      <c r="E5" s="3187" t="s">
        <v>2541</v>
      </c>
      <c r="F5" s="3188"/>
      <c r="G5" s="3189" t="s">
        <v>2542</v>
      </c>
      <c r="H5" s="3190"/>
      <c r="I5" s="3189" t="s">
        <v>2543</v>
      </c>
      <c r="J5" s="3190"/>
      <c r="K5" s="2597"/>
      <c r="L5" s="1131"/>
      <c r="M5" s="1132"/>
      <c r="N5" s="1132"/>
      <c r="O5" s="1132"/>
      <c r="P5" s="3202"/>
      <c r="Q5" s="3203"/>
      <c r="R5" s="3185"/>
      <c r="S5" s="3186"/>
      <c r="T5" s="3185"/>
      <c r="U5" s="3186"/>
      <c r="V5" s="3208"/>
      <c r="W5" s="3208"/>
      <c r="X5" s="1814"/>
      <c r="Y5" s="3185"/>
      <c r="Z5" s="3186"/>
      <c r="AA5" s="3179"/>
      <c r="AB5" s="3179"/>
      <c r="AC5" s="3179"/>
    </row>
    <row r="6" spans="1:29" ht="15.75" thickBot="1">
      <c r="A6" s="406"/>
      <c r="B6" s="407"/>
      <c r="C6" s="3191" t="s">
        <v>2544</v>
      </c>
      <c r="D6" s="3192"/>
      <c r="E6" s="3193" t="s">
        <v>2544</v>
      </c>
      <c r="F6" s="3194"/>
      <c r="G6" s="3191" t="s">
        <v>2544</v>
      </c>
      <c r="H6" s="3192"/>
      <c r="I6" s="3191" t="s">
        <v>2544</v>
      </c>
      <c r="J6" s="3192"/>
      <c r="K6" s="2597" t="s">
        <v>2545</v>
      </c>
      <c r="L6" s="1131"/>
      <c r="M6" s="1132"/>
      <c r="N6" s="1132"/>
      <c r="O6" s="1132"/>
      <c r="P6" s="3204"/>
      <c r="Q6" s="3205"/>
      <c r="R6" s="3185"/>
      <c r="S6" s="3186"/>
      <c r="T6" s="3206"/>
      <c r="U6" s="3207"/>
      <c r="V6" s="3208"/>
      <c r="W6" s="3208"/>
      <c r="X6" s="1814"/>
      <c r="Y6" s="3206"/>
      <c r="Z6" s="3207"/>
      <c r="AA6" s="3180"/>
      <c r="AB6" s="3180"/>
      <c r="AC6" s="3180"/>
    </row>
    <row r="7" spans="1:29" s="117" customFormat="1" ht="15.7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2598"/>
      <c r="L7" s="1133"/>
      <c r="M7" s="1134"/>
      <c r="N7" s="1134"/>
      <c r="O7" s="1134"/>
      <c r="P7" s="3181" t="s">
        <v>2547</v>
      </c>
      <c r="Q7" s="3209"/>
      <c r="R7" s="770" t="s">
        <v>23</v>
      </c>
      <c r="S7" s="771">
        <f t="shared" ref="S7:S15" si="0">F7</f>
        <v>0</v>
      </c>
      <c r="T7" s="770" t="s">
        <v>23</v>
      </c>
      <c r="U7" s="771">
        <f t="shared" ref="U7:U15" si="1">H7</f>
        <v>0</v>
      </c>
      <c r="V7" s="770" t="s">
        <v>23</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3"/>
      <c r="M8" s="1134"/>
      <c r="N8" s="1134"/>
      <c r="O8" s="1134"/>
      <c r="P8" s="3181" t="s">
        <v>2550</v>
      </c>
      <c r="Q8" s="3182"/>
      <c r="R8" s="770" t="s">
        <v>23</v>
      </c>
      <c r="S8" s="771">
        <f t="shared" si="0"/>
        <v>0</v>
      </c>
      <c r="T8" s="770" t="s">
        <v>23</v>
      </c>
      <c r="U8" s="771">
        <f t="shared" si="1"/>
        <v>0</v>
      </c>
      <c r="V8" s="770" t="s">
        <v>23</v>
      </c>
      <c r="W8" s="771">
        <f t="shared" si="2"/>
        <v>0</v>
      </c>
      <c r="X8" s="772"/>
      <c r="Y8" s="3181" t="s">
        <v>2550</v>
      </c>
      <c r="Z8" s="318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3"/>
      <c r="M9" s="1134"/>
      <c r="N9" s="1134"/>
      <c r="O9" s="1134"/>
      <c r="P9" s="3195"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95"/>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95"/>
      <c r="Q11" s="1796"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3"/>
      <c r="M12" s="1134"/>
      <c r="N12" s="1134"/>
      <c r="O12" s="1134"/>
      <c r="P12" s="3195"/>
      <c r="Q12" s="1796">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1"/>
      <c r="M13" s="1132"/>
      <c r="N13" s="1132"/>
      <c r="O13" s="1132"/>
      <c r="P13" s="3195"/>
      <c r="Q13" s="1796">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1"/>
      <c r="M14" s="1132"/>
      <c r="N14" s="1132"/>
      <c r="O14" s="1132"/>
      <c r="P14" s="3195"/>
      <c r="Q14" s="1796">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2557</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2" t="s">
        <v>2558</v>
      </c>
      <c r="Q15" s="1811" t="str">
        <f t="shared" si="6"/>
        <v>居住社区成熟度</v>
      </c>
      <c r="R15" s="774" t="s">
        <v>21</v>
      </c>
      <c r="S15" s="775">
        <f t="shared" si="0"/>
        <v>100</v>
      </c>
      <c r="T15" s="774" t="s">
        <v>21</v>
      </c>
      <c r="U15" s="775">
        <f t="shared" si="1"/>
        <v>100</v>
      </c>
      <c r="V15" s="774" t="s">
        <v>21</v>
      </c>
      <c r="W15" s="775">
        <f t="shared" si="2"/>
        <v>100</v>
      </c>
      <c r="X15" s="1814"/>
      <c r="Y15" s="3215" t="s">
        <v>2558</v>
      </c>
      <c r="Z15" s="1815" t="str">
        <f t="shared" si="7"/>
        <v>居住社区成熟度</v>
      </c>
      <c r="AA15" s="1812">
        <f t="shared" si="3"/>
        <v>1</v>
      </c>
      <c r="AB15" s="1812">
        <f t="shared" si="4"/>
        <v>1</v>
      </c>
      <c r="AC15" s="1812">
        <f t="shared" si="5"/>
        <v>1</v>
      </c>
    </row>
    <row r="16" spans="1:29" ht="15">
      <c r="A16" s="428"/>
      <c r="B16" s="446"/>
      <c r="C16" s="447"/>
      <c r="D16" s="448"/>
      <c r="E16" s="2604"/>
      <c r="F16" s="448"/>
      <c r="G16" s="2605"/>
      <c r="H16" s="450"/>
      <c r="I16" s="2605"/>
      <c r="J16" s="448"/>
      <c r="K16" s="2606"/>
      <c r="L16" s="1141"/>
      <c r="M16" s="1132"/>
      <c r="N16" s="1132"/>
      <c r="O16" s="1132"/>
      <c r="P16" s="3223"/>
      <c r="Q16" s="1811"/>
      <c r="R16" s="774"/>
      <c r="S16" s="775"/>
      <c r="T16" s="774"/>
      <c r="U16" s="775"/>
      <c r="V16" s="774"/>
      <c r="W16" s="775"/>
      <c r="X16" s="1814"/>
      <c r="Y16" s="3216"/>
      <c r="Z16" s="1815"/>
      <c r="AA16" s="1812">
        <v>1</v>
      </c>
      <c r="AB16" s="1812">
        <v>1</v>
      </c>
      <c r="AC16" s="1812">
        <v>1</v>
      </c>
    </row>
    <row r="17" spans="1:29" ht="85.5">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3"/>
      <c r="Q17" s="1811" t="str">
        <f>B17</f>
        <v>交通便捷度</v>
      </c>
      <c r="R17" s="774" t="s">
        <v>21</v>
      </c>
      <c r="S17" s="775">
        <f>F17</f>
        <v>100</v>
      </c>
      <c r="T17" s="774" t="s">
        <v>21</v>
      </c>
      <c r="U17" s="775">
        <f>H17</f>
        <v>100</v>
      </c>
      <c r="V17" s="774" t="s">
        <v>21</v>
      </c>
      <c r="W17" s="775">
        <f>J17</f>
        <v>100</v>
      </c>
      <c r="X17" s="1814"/>
      <c r="Y17" s="3216"/>
      <c r="Z17" s="1815" t="str">
        <f>Q17</f>
        <v>交通便捷度</v>
      </c>
      <c r="AA17" s="1812">
        <f t="shared" si="3"/>
        <v>1</v>
      </c>
      <c r="AB17" s="1812">
        <f t="shared" si="4"/>
        <v>1</v>
      </c>
      <c r="AC17" s="1812">
        <f t="shared" si="5"/>
        <v>1</v>
      </c>
    </row>
    <row r="18" spans="1:29" ht="15">
      <c r="A18" s="428"/>
      <c r="B18" s="456"/>
      <c r="C18" s="2608"/>
      <c r="D18" s="450"/>
      <c r="E18" s="2609"/>
      <c r="F18" s="450"/>
      <c r="G18" s="2610"/>
      <c r="H18" s="448"/>
      <c r="I18" s="2610"/>
      <c r="J18" s="448"/>
      <c r="K18" s="2606"/>
      <c r="L18" s="1141"/>
      <c r="M18" s="1132"/>
      <c r="N18" s="1132"/>
      <c r="O18" s="1132"/>
      <c r="P18" s="3223"/>
      <c r="Q18" s="1811"/>
      <c r="R18" s="774"/>
      <c r="S18" s="775"/>
      <c r="T18" s="774"/>
      <c r="U18" s="775"/>
      <c r="V18" s="774"/>
      <c r="W18" s="775"/>
      <c r="X18" s="1814"/>
      <c r="Y18" s="3216"/>
      <c r="Z18" s="1815"/>
      <c r="AA18" s="1812">
        <v>1</v>
      </c>
      <c r="AB18" s="1812">
        <v>1</v>
      </c>
      <c r="AC18" s="1812">
        <v>1</v>
      </c>
    </row>
    <row r="19" spans="1:29" ht="42.75">
      <c r="A19" s="428"/>
      <c r="B19" s="451" t="s">
        <v>2093</v>
      </c>
      <c r="C19" s="2607"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3"/>
      <c r="Q19" s="1811" t="str">
        <f>B19</f>
        <v>公共配套设施</v>
      </c>
      <c r="R19" s="774" t="s">
        <v>21</v>
      </c>
      <c r="S19" s="775">
        <f>F19</f>
        <v>100</v>
      </c>
      <c r="T19" s="774" t="s">
        <v>21</v>
      </c>
      <c r="U19" s="775">
        <f>H19</f>
        <v>100</v>
      </c>
      <c r="V19" s="774" t="s">
        <v>21</v>
      </c>
      <c r="W19" s="775">
        <f>J19</f>
        <v>100</v>
      </c>
      <c r="X19" s="1814"/>
      <c r="Y19" s="3216"/>
      <c r="Z19" s="1815" t="str">
        <f>Q19</f>
        <v>公共配套设施</v>
      </c>
      <c r="AA19" s="1812">
        <f t="shared" si="3"/>
        <v>1</v>
      </c>
      <c r="AB19" s="1812">
        <f t="shared" si="4"/>
        <v>1</v>
      </c>
      <c r="AC19" s="1812">
        <f t="shared" si="5"/>
        <v>1</v>
      </c>
    </row>
    <row r="20" spans="1:29" ht="15">
      <c r="A20" s="428"/>
      <c r="B20" s="456"/>
      <c r="C20" s="447"/>
      <c r="D20" s="448"/>
      <c r="E20" s="2604"/>
      <c r="F20" s="448"/>
      <c r="G20" s="2605"/>
      <c r="H20" s="448"/>
      <c r="I20" s="2605"/>
      <c r="J20" s="448"/>
      <c r="K20" s="2606"/>
      <c r="L20" s="1141"/>
      <c r="M20" s="1132"/>
      <c r="N20" s="1132"/>
      <c r="O20" s="1132"/>
      <c r="P20" s="3223"/>
      <c r="Q20" s="1811"/>
      <c r="R20" s="774"/>
      <c r="S20" s="775"/>
      <c r="T20" s="774"/>
      <c r="U20" s="775"/>
      <c r="V20" s="774"/>
      <c r="W20" s="775"/>
      <c r="X20" s="1814"/>
      <c r="Y20" s="3216"/>
      <c r="Z20" s="1815"/>
      <c r="AA20" s="1812">
        <v>1</v>
      </c>
      <c r="AB20" s="1812">
        <v>1</v>
      </c>
      <c r="AC20" s="1812">
        <v>1</v>
      </c>
    </row>
    <row r="21" spans="1:29" ht="28.5">
      <c r="A21" s="428"/>
      <c r="B21" s="1385" t="s">
        <v>2096</v>
      </c>
      <c r="C21" s="2607"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3"/>
      <c r="Q21" s="1811" t="str">
        <f>B21</f>
        <v>基础设施水平</v>
      </c>
      <c r="R21" s="774" t="s">
        <v>17</v>
      </c>
      <c r="S21" s="775">
        <f>F21</f>
        <v>100</v>
      </c>
      <c r="T21" s="774" t="s">
        <v>17</v>
      </c>
      <c r="U21" s="775">
        <f>H21</f>
        <v>100</v>
      </c>
      <c r="V21" s="774" t="s">
        <v>17</v>
      </c>
      <c r="W21" s="775">
        <f>J21</f>
        <v>100</v>
      </c>
      <c r="X21" s="1814"/>
      <c r="Y21" s="3216"/>
      <c r="Z21" s="1815" t="str">
        <f>Q21</f>
        <v>基础设施水平</v>
      </c>
      <c r="AA21" s="1812">
        <f>D21/F21</f>
        <v>1</v>
      </c>
      <c r="AB21" s="1812">
        <f>D21/H21</f>
        <v>1</v>
      </c>
      <c r="AC21" s="1812">
        <f>D21/J21</f>
        <v>1</v>
      </c>
    </row>
    <row r="22" spans="1:29" ht="15">
      <c r="A22" s="428"/>
      <c r="B22" s="1385"/>
      <c r="C22" s="2608"/>
      <c r="D22" s="448"/>
      <c r="E22" s="447"/>
      <c r="F22" s="448"/>
      <c r="G22" s="2611"/>
      <c r="H22" s="448"/>
      <c r="I22" s="447"/>
      <c r="J22" s="448"/>
      <c r="K22" s="2612"/>
      <c r="L22" s="1141"/>
      <c r="M22" s="1132"/>
      <c r="N22" s="1132"/>
      <c r="O22" s="1132"/>
      <c r="P22" s="3223"/>
      <c r="Q22" s="1811"/>
      <c r="R22" s="774"/>
      <c r="S22" s="775"/>
      <c r="T22" s="774"/>
      <c r="U22" s="775"/>
      <c r="V22" s="774"/>
      <c r="W22" s="775"/>
      <c r="X22" s="1814"/>
      <c r="Y22" s="3216"/>
      <c r="Z22" s="1815"/>
      <c r="AA22" s="1812">
        <v>1</v>
      </c>
      <c r="AB22" s="1812">
        <v>1</v>
      </c>
      <c r="AC22" s="1812">
        <v>1</v>
      </c>
    </row>
    <row r="23" spans="1:29" ht="57">
      <c r="A23" s="428"/>
      <c r="B23" s="451" t="s">
        <v>2100</v>
      </c>
      <c r="C23" s="2607"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3"/>
      <c r="Q23" s="1811" t="str">
        <f>B23</f>
        <v>自然及人文环境</v>
      </c>
      <c r="R23" s="774" t="s">
        <v>21</v>
      </c>
      <c r="S23" s="775">
        <f>F23</f>
        <v>100</v>
      </c>
      <c r="T23" s="774" t="s">
        <v>21</v>
      </c>
      <c r="U23" s="775">
        <f>H23</f>
        <v>100</v>
      </c>
      <c r="V23" s="774" t="s">
        <v>21</v>
      </c>
      <c r="W23" s="775">
        <f>J23</f>
        <v>100</v>
      </c>
      <c r="X23" s="1814"/>
      <c r="Y23" s="3216"/>
      <c r="Z23" s="1815" t="str">
        <f>Q23</f>
        <v>自然及人文环境</v>
      </c>
      <c r="AA23" s="1812">
        <f>D23/F23</f>
        <v>1</v>
      </c>
      <c r="AB23" s="1812">
        <f>D23/H23</f>
        <v>1</v>
      </c>
      <c r="AC23" s="1812">
        <f>D23/J23</f>
        <v>1</v>
      </c>
    </row>
    <row r="24" spans="1:29" ht="15">
      <c r="A24" s="428"/>
      <c r="B24" s="456"/>
      <c r="C24" s="447"/>
      <c r="D24" s="448"/>
      <c r="E24" s="2604"/>
      <c r="F24" s="448"/>
      <c r="G24" s="2605"/>
      <c r="H24" s="448"/>
      <c r="I24" s="2605"/>
      <c r="J24" s="448"/>
      <c r="K24" s="2606"/>
      <c r="L24" s="1141"/>
      <c r="M24" s="1132"/>
      <c r="N24" s="1132"/>
      <c r="O24" s="1132"/>
      <c r="P24" s="3223"/>
      <c r="Q24" s="1811"/>
      <c r="R24" s="774"/>
      <c r="S24" s="775"/>
      <c r="T24" s="774"/>
      <c r="U24" s="775"/>
      <c r="V24" s="774"/>
      <c r="W24" s="775"/>
      <c r="X24" s="1814"/>
      <c r="Y24" s="3216"/>
      <c r="Z24" s="1815"/>
      <c r="AA24" s="1812">
        <v>1</v>
      </c>
      <c r="AB24" s="1812">
        <v>1</v>
      </c>
      <c r="AC24" s="1812">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1"/>
      <c r="M25" s="1132"/>
      <c r="N25" s="1132"/>
      <c r="O25" s="1132"/>
      <c r="P25" s="3223"/>
      <c r="Q25" s="1811" t="str">
        <f t="shared" ref="Q25:Q46" si="8">B25</f>
        <v>楼层-1</v>
      </c>
      <c r="R25" s="774" t="s">
        <v>21</v>
      </c>
      <c r="S25" s="775">
        <f t="shared" ref="S25:S46" si="9">F25</f>
        <v>100</v>
      </c>
      <c r="T25" s="774" t="s">
        <v>21</v>
      </c>
      <c r="U25" s="775">
        <f t="shared" ref="U25:U46" si="10">H25</f>
        <v>100</v>
      </c>
      <c r="V25" s="774" t="s">
        <v>21</v>
      </c>
      <c r="W25" s="775">
        <f t="shared" ref="W25:W46" si="11">J25</f>
        <v>100</v>
      </c>
      <c r="X25" s="1814"/>
      <c r="Y25" s="3216"/>
      <c r="Z25" s="1815" t="str">
        <f>Q25</f>
        <v>楼层-1</v>
      </c>
      <c r="AA25" s="1812">
        <f t="shared" ref="AA25:AA46" si="12">D25/F25</f>
        <v>1</v>
      </c>
      <c r="AB25" s="1812">
        <f t="shared" ref="AB25:AB46" si="13">D25/H25</f>
        <v>1</v>
      </c>
      <c r="AC25" s="1812">
        <f t="shared" ref="AC25:AC46" si="14">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1"/>
      <c r="M26" s="1132"/>
      <c r="N26" s="1132"/>
      <c r="O26" s="1132"/>
      <c r="P26" s="3223"/>
      <c r="Q26" s="1811" t="str">
        <f t="shared" si="8"/>
        <v>朝向</v>
      </c>
      <c r="R26" s="774" t="s">
        <v>21</v>
      </c>
      <c r="S26" s="775">
        <f t="shared" si="9"/>
        <v>100</v>
      </c>
      <c r="T26" s="774" t="s">
        <v>21</v>
      </c>
      <c r="U26" s="775">
        <f t="shared" si="10"/>
        <v>100</v>
      </c>
      <c r="V26" s="774" t="s">
        <v>21</v>
      </c>
      <c r="W26" s="775">
        <f t="shared" si="11"/>
        <v>100</v>
      </c>
      <c r="X26" s="1814"/>
      <c r="Y26" s="3216"/>
      <c r="Z26" s="1815" t="str">
        <f>Q26</f>
        <v>朝向</v>
      </c>
      <c r="AA26" s="1812">
        <f t="shared" si="12"/>
        <v>1</v>
      </c>
      <c r="AB26" s="1812">
        <f t="shared" si="13"/>
        <v>1</v>
      </c>
      <c r="AC26" s="1812">
        <f t="shared" si="14"/>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1"/>
      <c r="L27" s="1133"/>
      <c r="M27" s="1134"/>
      <c r="N27" s="1134"/>
      <c r="O27" s="1134"/>
      <c r="P27" s="3223"/>
      <c r="Q27" s="1796">
        <f t="shared" si="8"/>
        <v>111</v>
      </c>
      <c r="R27" s="770" t="s">
        <v>21</v>
      </c>
      <c r="S27" s="771">
        <f t="shared" si="9"/>
        <v>100</v>
      </c>
      <c r="T27" s="770" t="s">
        <v>21</v>
      </c>
      <c r="U27" s="771">
        <f t="shared" si="10"/>
        <v>100</v>
      </c>
      <c r="V27" s="770" t="s">
        <v>21</v>
      </c>
      <c r="W27" s="771">
        <f t="shared" si="11"/>
        <v>100</v>
      </c>
      <c r="X27" s="772"/>
      <c r="Y27" s="3216"/>
      <c r="Z27" s="55">
        <f>Q27</f>
        <v>111</v>
      </c>
      <c r="AA27" s="1812">
        <f t="shared" si="12"/>
        <v>1</v>
      </c>
      <c r="AB27" s="1812">
        <f t="shared" si="13"/>
        <v>1</v>
      </c>
      <c r="AC27" s="1812">
        <f t="shared" si="14"/>
        <v>1</v>
      </c>
    </row>
    <row r="28" spans="1:29" ht="15">
      <c r="A28" s="428"/>
      <c r="B28" s="1387">
        <v>111</v>
      </c>
      <c r="C28" s="434"/>
      <c r="D28" s="435">
        <v>100</v>
      </c>
      <c r="E28" s="434"/>
      <c r="F28" s="435">
        <f>SUMIF(92:92,E28,93:93)-SUMIF(92:92,C28,93:93)+100</f>
        <v>100</v>
      </c>
      <c r="G28" s="2615"/>
      <c r="H28" s="435">
        <f>SUMIF(92:92,G28,93:93)-SUMIF(92:92,C28,93:93)+100</f>
        <v>100</v>
      </c>
      <c r="I28" s="434"/>
      <c r="J28" s="435">
        <f>SUMIF(92:92,I28,93:93)-SUMIF(92:92,C28,93:93)+100</f>
        <v>100</v>
      </c>
      <c r="K28" s="2601"/>
      <c r="L28" s="1141"/>
      <c r="M28" s="1132"/>
      <c r="N28" s="1132"/>
      <c r="O28" s="1132"/>
      <c r="P28" s="3223"/>
      <c r="Q28" s="1811">
        <f t="shared" si="8"/>
        <v>111</v>
      </c>
      <c r="R28" s="774" t="s">
        <v>21</v>
      </c>
      <c r="S28" s="775">
        <f t="shared" si="9"/>
        <v>100</v>
      </c>
      <c r="T28" s="774" t="s">
        <v>21</v>
      </c>
      <c r="U28" s="775">
        <f t="shared" si="10"/>
        <v>100</v>
      </c>
      <c r="V28" s="774" t="s">
        <v>21</v>
      </c>
      <c r="W28" s="775">
        <f t="shared" si="11"/>
        <v>100</v>
      </c>
      <c r="X28" s="1814"/>
      <c r="Y28" s="3216"/>
      <c r="Z28" s="1815">
        <f t="shared" ref="Z28:Z46" si="15">Q28</f>
        <v>111</v>
      </c>
      <c r="AA28" s="1812">
        <f t="shared" si="12"/>
        <v>1</v>
      </c>
      <c r="AB28" s="1812">
        <f t="shared" si="13"/>
        <v>1</v>
      </c>
      <c r="AC28" s="1812">
        <f t="shared" si="14"/>
        <v>1</v>
      </c>
    </row>
    <row r="29" spans="1:29" ht="15">
      <c r="A29" s="428"/>
      <c r="B29" s="1387">
        <v>111</v>
      </c>
      <c r="C29" s="434"/>
      <c r="D29" s="435">
        <v>100</v>
      </c>
      <c r="E29" s="434"/>
      <c r="F29" s="435">
        <f>SUMIF(94:94,E29,95:95)-SUMIF(94:94,C29,95:95)+100</f>
        <v>100</v>
      </c>
      <c r="G29" s="2615"/>
      <c r="H29" s="435">
        <f>SUMIF(94:94,G29,95:95)-SUMIF(94:94,C29,95:95)+100</f>
        <v>100</v>
      </c>
      <c r="I29" s="434"/>
      <c r="J29" s="435">
        <f>SUMIF(94:94,I29,95:95)-SUMIF(94:94,C29,95:95)+100</f>
        <v>100</v>
      </c>
      <c r="K29" s="2601"/>
      <c r="L29" s="1141"/>
      <c r="M29" s="1132"/>
      <c r="N29" s="1132"/>
      <c r="O29" s="1132"/>
      <c r="P29" s="3223"/>
      <c r="Q29" s="1811">
        <f t="shared" si="8"/>
        <v>111</v>
      </c>
      <c r="R29" s="774" t="s">
        <v>21</v>
      </c>
      <c r="S29" s="775">
        <f t="shared" si="9"/>
        <v>100</v>
      </c>
      <c r="T29" s="774" t="s">
        <v>21</v>
      </c>
      <c r="U29" s="775">
        <f t="shared" si="10"/>
        <v>100</v>
      </c>
      <c r="V29" s="774" t="s">
        <v>21</v>
      </c>
      <c r="W29" s="775">
        <f t="shared" si="11"/>
        <v>100</v>
      </c>
      <c r="X29" s="1814"/>
      <c r="Y29" s="3216"/>
      <c r="Z29" s="1815">
        <f t="shared" si="15"/>
        <v>111</v>
      </c>
      <c r="AA29" s="1812">
        <f t="shared" si="12"/>
        <v>1</v>
      </c>
      <c r="AB29" s="1812">
        <f t="shared" si="13"/>
        <v>1</v>
      </c>
      <c r="AC29" s="1812">
        <f t="shared" si="14"/>
        <v>1</v>
      </c>
    </row>
    <row r="30" spans="1:29" ht="15">
      <c r="A30" s="428"/>
      <c r="B30" s="1387">
        <v>111</v>
      </c>
      <c r="C30" s="434"/>
      <c r="D30" s="435">
        <v>100</v>
      </c>
      <c r="E30" s="434"/>
      <c r="F30" s="435">
        <f>SUMIF(96:96,E30,97:97)-SUMIF(96:96,C30,97:97)+100</f>
        <v>100</v>
      </c>
      <c r="G30" s="2615"/>
      <c r="H30" s="435">
        <f>SUMIF(96:96,G30,97:97)-SUMIF(96:96,C30,97:97)+100</f>
        <v>100</v>
      </c>
      <c r="I30" s="434"/>
      <c r="J30" s="435">
        <f>SUMIF(96:96,I30,97:97)-SUMIF(96:96,C30,97:97)+100</f>
        <v>100</v>
      </c>
      <c r="K30" s="2601"/>
      <c r="L30" s="1141"/>
      <c r="M30" s="1132"/>
      <c r="N30" s="1132"/>
      <c r="O30" s="1132"/>
      <c r="P30" s="3223"/>
      <c r="Q30" s="1811">
        <f t="shared" si="8"/>
        <v>111</v>
      </c>
      <c r="R30" s="774" t="s">
        <v>21</v>
      </c>
      <c r="S30" s="775">
        <f t="shared" si="9"/>
        <v>100</v>
      </c>
      <c r="T30" s="774" t="s">
        <v>21</v>
      </c>
      <c r="U30" s="775">
        <f t="shared" si="10"/>
        <v>100</v>
      </c>
      <c r="V30" s="774" t="s">
        <v>21</v>
      </c>
      <c r="W30" s="775">
        <f t="shared" si="11"/>
        <v>100</v>
      </c>
      <c r="X30" s="1814"/>
      <c r="Y30" s="3216"/>
      <c r="Z30" s="1815">
        <f t="shared" si="15"/>
        <v>111</v>
      </c>
      <c r="AA30" s="1812">
        <f t="shared" si="12"/>
        <v>1</v>
      </c>
      <c r="AB30" s="1812">
        <f t="shared" si="13"/>
        <v>1</v>
      </c>
      <c r="AC30" s="1812">
        <f t="shared" si="14"/>
        <v>1</v>
      </c>
    </row>
    <row r="31" spans="1:29" ht="15.75" thickBot="1">
      <c r="A31" s="436"/>
      <c r="B31" s="1387">
        <v>111</v>
      </c>
      <c r="C31" s="437"/>
      <c r="D31" s="438">
        <v>100</v>
      </c>
      <c r="E31" s="437"/>
      <c r="F31" s="438">
        <f>SUMIF(98:98,E31,99:99)-SUMIF(98:98,C31,99:99)+100</f>
        <v>100</v>
      </c>
      <c r="G31" s="2616"/>
      <c r="H31" s="438">
        <f>SUMIF(98:98,G31,99:99)-SUMIF(98:98,C31,99:99)+100</f>
        <v>100</v>
      </c>
      <c r="I31" s="437"/>
      <c r="J31" s="438">
        <f>SUMIF(98:98,I31,99:99)-SUMIF(98:98,C31,99:99)+100</f>
        <v>100</v>
      </c>
      <c r="K31" s="2601"/>
      <c r="L31" s="1141"/>
      <c r="M31" s="1132"/>
      <c r="N31" s="1132"/>
      <c r="O31" s="1132"/>
      <c r="P31" s="3223"/>
      <c r="Q31" s="1811">
        <f t="shared" si="8"/>
        <v>111</v>
      </c>
      <c r="R31" s="774" t="s">
        <v>21</v>
      </c>
      <c r="S31" s="775">
        <f t="shared" si="9"/>
        <v>100</v>
      </c>
      <c r="T31" s="774" t="s">
        <v>21</v>
      </c>
      <c r="U31" s="775">
        <f t="shared" si="10"/>
        <v>100</v>
      </c>
      <c r="V31" s="774" t="s">
        <v>21</v>
      </c>
      <c r="W31" s="775">
        <f t="shared" si="11"/>
        <v>100</v>
      </c>
      <c r="X31" s="1814"/>
      <c r="Y31" s="3216"/>
      <c r="Z31" s="1815">
        <f t="shared" si="15"/>
        <v>111</v>
      </c>
      <c r="AA31" s="1812">
        <f t="shared" si="12"/>
        <v>1</v>
      </c>
      <c r="AB31" s="1812">
        <f t="shared" si="13"/>
        <v>1</v>
      </c>
      <c r="AC31" s="1812">
        <f t="shared" si="14"/>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1"/>
      <c r="M32" s="1132"/>
      <c r="N32" s="1132"/>
      <c r="O32" s="1132"/>
      <c r="P32" s="3217" t="s">
        <v>2563</v>
      </c>
      <c r="Q32" s="1811" t="str">
        <f t="shared" si="8"/>
        <v>建筑类型</v>
      </c>
      <c r="R32" s="774" t="s">
        <v>21</v>
      </c>
      <c r="S32" s="775">
        <f t="shared" si="9"/>
        <v>100</v>
      </c>
      <c r="T32" s="774" t="s">
        <v>21</v>
      </c>
      <c r="U32" s="775">
        <f t="shared" si="10"/>
        <v>100</v>
      </c>
      <c r="V32" s="774" t="s">
        <v>21</v>
      </c>
      <c r="W32" s="775">
        <f t="shared" si="11"/>
        <v>100</v>
      </c>
      <c r="X32" s="1814"/>
      <c r="Y32" s="3220" t="s">
        <v>2563</v>
      </c>
      <c r="Z32" s="1815" t="str">
        <f t="shared" si="15"/>
        <v>建筑类型</v>
      </c>
      <c r="AA32" s="1812">
        <f t="shared" si="12"/>
        <v>1</v>
      </c>
      <c r="AB32" s="1812">
        <f t="shared" si="13"/>
        <v>1</v>
      </c>
      <c r="AC32" s="1812">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9"/>
      <c r="M33" s="1142"/>
      <c r="N33" s="1142"/>
      <c r="O33" s="1142"/>
      <c r="P33" s="3218"/>
      <c r="Q33" s="776" t="str">
        <f t="shared" si="8"/>
        <v>项目建筑规模</v>
      </c>
      <c r="R33" s="777" t="s">
        <v>21</v>
      </c>
      <c r="S33" s="778" t="e">
        <f t="shared" si="9"/>
        <v>#N/A</v>
      </c>
      <c r="T33" s="777" t="s">
        <v>21</v>
      </c>
      <c r="U33" s="778" t="e">
        <f t="shared" si="10"/>
        <v>#N/A</v>
      </c>
      <c r="V33" s="777" t="s">
        <v>21</v>
      </c>
      <c r="W33" s="778" t="e">
        <f t="shared" si="11"/>
        <v>#N/A</v>
      </c>
      <c r="X33" s="779"/>
      <c r="Y33" s="3220"/>
      <c r="Z33" s="780" t="str">
        <f t="shared" si="15"/>
        <v>项目建筑规模</v>
      </c>
      <c r="AA33" s="1812" t="e">
        <f t="shared" si="12"/>
        <v>#N/A</v>
      </c>
      <c r="AB33" s="1812" t="e">
        <f t="shared" si="13"/>
        <v>#N/A</v>
      </c>
      <c r="AC33" s="1812" t="e">
        <f t="shared" si="14"/>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1"/>
      <c r="M34" s="1132"/>
      <c r="N34" s="1132"/>
      <c r="O34" s="1132"/>
      <c r="P34" s="3218"/>
      <c r="Q34" s="1811" t="str">
        <f t="shared" si="8"/>
        <v>建筑结构</v>
      </c>
      <c r="R34" s="774" t="s">
        <v>21</v>
      </c>
      <c r="S34" s="775">
        <f t="shared" si="9"/>
        <v>100</v>
      </c>
      <c r="T34" s="774" t="s">
        <v>21</v>
      </c>
      <c r="U34" s="775">
        <f t="shared" si="10"/>
        <v>100</v>
      </c>
      <c r="V34" s="774" t="s">
        <v>21</v>
      </c>
      <c r="W34" s="775">
        <f t="shared" si="11"/>
        <v>100</v>
      </c>
      <c r="X34" s="1814"/>
      <c r="Y34" s="3220"/>
      <c r="Z34" s="1815" t="str">
        <f t="shared" si="15"/>
        <v>建筑结构</v>
      </c>
      <c r="AA34" s="1812">
        <f t="shared" si="12"/>
        <v>1</v>
      </c>
      <c r="AB34" s="1812">
        <f t="shared" si="13"/>
        <v>1</v>
      </c>
      <c r="AC34" s="1812">
        <f t="shared" si="14"/>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1"/>
      <c r="M35" s="1132"/>
      <c r="N35" s="1132"/>
      <c r="O35" s="1132"/>
      <c r="P35" s="3218"/>
      <c r="Q35" s="1811" t="str">
        <f t="shared" si="8"/>
        <v>建筑品质</v>
      </c>
      <c r="R35" s="774" t="s">
        <v>21</v>
      </c>
      <c r="S35" s="775">
        <f t="shared" si="9"/>
        <v>100</v>
      </c>
      <c r="T35" s="774" t="s">
        <v>21</v>
      </c>
      <c r="U35" s="775">
        <f t="shared" si="10"/>
        <v>100</v>
      </c>
      <c r="V35" s="774" t="s">
        <v>21</v>
      </c>
      <c r="W35" s="775">
        <f t="shared" si="11"/>
        <v>100</v>
      </c>
      <c r="X35" s="1814"/>
      <c r="Y35" s="3220"/>
      <c r="Z35" s="1815" t="str">
        <f t="shared" si="15"/>
        <v>建筑品质</v>
      </c>
      <c r="AA35" s="1812">
        <f t="shared" si="12"/>
        <v>1</v>
      </c>
      <c r="AB35" s="1812">
        <f t="shared" si="13"/>
        <v>1</v>
      </c>
      <c r="AC35" s="1812">
        <f t="shared" si="14"/>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1"/>
      <c r="M36" s="1132"/>
      <c r="N36" s="1132"/>
      <c r="O36" s="1132"/>
      <c r="P36" s="3218"/>
      <c r="Q36" s="1811" t="str">
        <f t="shared" si="8"/>
        <v>公共部分装修</v>
      </c>
      <c r="R36" s="774" t="s">
        <v>21</v>
      </c>
      <c r="S36" s="775">
        <f t="shared" si="9"/>
        <v>100</v>
      </c>
      <c r="T36" s="774" t="s">
        <v>21</v>
      </c>
      <c r="U36" s="775">
        <f t="shared" si="10"/>
        <v>100</v>
      </c>
      <c r="V36" s="774" t="s">
        <v>21</v>
      </c>
      <c r="W36" s="775">
        <f t="shared" si="11"/>
        <v>100</v>
      </c>
      <c r="X36" s="1814"/>
      <c r="Y36" s="3220"/>
      <c r="Z36" s="1815" t="str">
        <f t="shared" si="15"/>
        <v>公共部分装修</v>
      </c>
      <c r="AA36" s="1812">
        <f t="shared" si="12"/>
        <v>1</v>
      </c>
      <c r="AB36" s="1812">
        <f t="shared" si="13"/>
        <v>1</v>
      </c>
      <c r="AC36" s="1812">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8"/>
      <c r="Q37" s="1796" t="str">
        <f t="shared" si="8"/>
        <v>成新度</v>
      </c>
      <c r="R37" s="770" t="s">
        <v>21</v>
      </c>
      <c r="S37" s="771" t="e">
        <f t="shared" si="9"/>
        <v>#N/A</v>
      </c>
      <c r="T37" s="770" t="s">
        <v>21</v>
      </c>
      <c r="U37" s="771" t="e">
        <f t="shared" si="10"/>
        <v>#N/A</v>
      </c>
      <c r="V37" s="770" t="s">
        <v>21</v>
      </c>
      <c r="W37" s="771" t="e">
        <f t="shared" si="11"/>
        <v>#N/A</v>
      </c>
      <c r="X37" s="772"/>
      <c r="Y37" s="3220"/>
      <c r="Z37" s="55" t="str">
        <f t="shared" si="15"/>
        <v>成新度</v>
      </c>
      <c r="AA37" s="773" t="e">
        <f t="shared" si="12"/>
        <v>#N/A</v>
      </c>
      <c r="AB37" s="773" t="e">
        <f t="shared" si="13"/>
        <v>#N/A</v>
      </c>
      <c r="AC37" s="773" t="e">
        <f t="shared" si="14"/>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1"/>
      <c r="M38" s="1132"/>
      <c r="N38" s="1132"/>
      <c r="O38" s="1132"/>
      <c r="P38" s="3218" t="s">
        <v>2563</v>
      </c>
      <c r="Q38" s="1811" t="str">
        <f t="shared" si="8"/>
        <v>物业管理</v>
      </c>
      <c r="R38" s="774" t="s">
        <v>21</v>
      </c>
      <c r="S38" s="775">
        <f t="shared" si="9"/>
        <v>100</v>
      </c>
      <c r="T38" s="774" t="s">
        <v>21</v>
      </c>
      <c r="U38" s="775">
        <f t="shared" si="10"/>
        <v>100</v>
      </c>
      <c r="V38" s="774" t="s">
        <v>21</v>
      </c>
      <c r="W38" s="775">
        <f t="shared" si="11"/>
        <v>100</v>
      </c>
      <c r="X38" s="1814"/>
      <c r="Y38" s="3220" t="s">
        <v>2563</v>
      </c>
      <c r="Z38" s="1815" t="str">
        <f t="shared" si="15"/>
        <v>物业管理</v>
      </c>
      <c r="AA38" s="1812">
        <f t="shared" si="12"/>
        <v>1</v>
      </c>
      <c r="AB38" s="1812">
        <f t="shared" si="13"/>
        <v>1</v>
      </c>
      <c r="AC38" s="1812">
        <f t="shared" si="14"/>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1"/>
      <c r="M39" s="1132"/>
      <c r="N39" s="1132"/>
      <c r="O39" s="1132"/>
      <c r="P39" s="3218"/>
      <c r="Q39" s="1811" t="str">
        <f t="shared" si="8"/>
        <v>市政基础设施</v>
      </c>
      <c r="R39" s="774" t="s">
        <v>21</v>
      </c>
      <c r="S39" s="775">
        <f t="shared" si="9"/>
        <v>100</v>
      </c>
      <c r="T39" s="774" t="s">
        <v>21</v>
      </c>
      <c r="U39" s="775">
        <f t="shared" si="10"/>
        <v>100</v>
      </c>
      <c r="V39" s="774" t="s">
        <v>21</v>
      </c>
      <c r="W39" s="775">
        <f t="shared" si="11"/>
        <v>100</v>
      </c>
      <c r="X39" s="1814"/>
      <c r="Y39" s="3220"/>
      <c r="Z39" s="1815" t="str">
        <f t="shared" si="15"/>
        <v>市政基础设施</v>
      </c>
      <c r="AA39" s="1812">
        <f t="shared" si="12"/>
        <v>1</v>
      </c>
      <c r="AB39" s="1812">
        <f t="shared" si="13"/>
        <v>1</v>
      </c>
      <c r="AC39" s="1812">
        <f t="shared" si="14"/>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1"/>
      <c r="M40" s="1132"/>
      <c r="N40" s="1132"/>
      <c r="O40" s="1132"/>
      <c r="P40" s="3218"/>
      <c r="Q40" s="1811" t="str">
        <f t="shared" si="8"/>
        <v>房型</v>
      </c>
      <c r="R40" s="774" t="s">
        <v>21</v>
      </c>
      <c r="S40" s="775">
        <f t="shared" si="9"/>
        <v>100</v>
      </c>
      <c r="T40" s="774" t="s">
        <v>21</v>
      </c>
      <c r="U40" s="775">
        <f t="shared" si="10"/>
        <v>100</v>
      </c>
      <c r="V40" s="774" t="s">
        <v>21</v>
      </c>
      <c r="W40" s="775">
        <f t="shared" si="11"/>
        <v>100</v>
      </c>
      <c r="X40" s="1814"/>
      <c r="Y40" s="3220"/>
      <c r="Z40" s="1815" t="str">
        <f t="shared" si="15"/>
        <v>房型</v>
      </c>
      <c r="AA40" s="1812">
        <f t="shared" si="12"/>
        <v>1</v>
      </c>
      <c r="AB40" s="1812">
        <f t="shared" si="13"/>
        <v>1</v>
      </c>
      <c r="AC40" s="1812">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9"/>
      <c r="M41" s="1142"/>
      <c r="N41" s="1142"/>
      <c r="O41" s="1142"/>
      <c r="P41" s="3218"/>
      <c r="Q41" s="776" t="str">
        <f t="shared" si="8"/>
        <v>单套/主力户型建筑面积</v>
      </c>
      <c r="R41" s="777" t="s">
        <v>21</v>
      </c>
      <c r="S41" s="778">
        <f t="shared" si="9"/>
        <v>100</v>
      </c>
      <c r="T41" s="777" t="s">
        <v>21</v>
      </c>
      <c r="U41" s="778">
        <f t="shared" si="10"/>
        <v>100</v>
      </c>
      <c r="V41" s="777" t="s">
        <v>21</v>
      </c>
      <c r="W41" s="778">
        <f t="shared" si="11"/>
        <v>100</v>
      </c>
      <c r="X41" s="779"/>
      <c r="Y41" s="3220"/>
      <c r="Z41" s="780" t="str">
        <f t="shared" si="15"/>
        <v>单套/主力户型建筑面积</v>
      </c>
      <c r="AA41" s="1812">
        <f t="shared" si="12"/>
        <v>1</v>
      </c>
      <c r="AB41" s="1812">
        <f t="shared" si="13"/>
        <v>1</v>
      </c>
      <c r="AC41" s="1812">
        <f t="shared" si="14"/>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1"/>
      <c r="M42" s="1132"/>
      <c r="N42" s="1132"/>
      <c r="O42" s="1132"/>
      <c r="P42" s="3218"/>
      <c r="Q42" s="1811" t="str">
        <f t="shared" si="8"/>
        <v>内部装修</v>
      </c>
      <c r="R42" s="774" t="s">
        <v>21</v>
      </c>
      <c r="S42" s="775">
        <f t="shared" si="9"/>
        <v>100</v>
      </c>
      <c r="T42" s="774" t="s">
        <v>21</v>
      </c>
      <c r="U42" s="775">
        <f t="shared" si="10"/>
        <v>100</v>
      </c>
      <c r="V42" s="774" t="s">
        <v>21</v>
      </c>
      <c r="W42" s="775">
        <f t="shared" si="11"/>
        <v>100</v>
      </c>
      <c r="X42" s="1814"/>
      <c r="Y42" s="3220"/>
      <c r="Z42" s="1815" t="str">
        <f t="shared" si="15"/>
        <v>内部装修</v>
      </c>
      <c r="AA42" s="1812">
        <f t="shared" si="12"/>
        <v>1</v>
      </c>
      <c r="AB42" s="1812">
        <f t="shared" si="13"/>
        <v>1</v>
      </c>
      <c r="AC42" s="1812">
        <f t="shared" si="14"/>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1"/>
      <c r="M43" s="1132"/>
      <c r="N43" s="1132"/>
      <c r="O43" s="1132"/>
      <c r="P43" s="3218"/>
      <c r="Q43" s="1811" t="str">
        <f t="shared" si="8"/>
        <v>内部装修维护情况</v>
      </c>
      <c r="R43" s="774" t="s">
        <v>21</v>
      </c>
      <c r="S43" s="775">
        <f t="shared" si="9"/>
        <v>100</v>
      </c>
      <c r="T43" s="774" t="s">
        <v>21</v>
      </c>
      <c r="U43" s="775">
        <f t="shared" si="10"/>
        <v>100</v>
      </c>
      <c r="V43" s="774" t="s">
        <v>21</v>
      </c>
      <c r="W43" s="775">
        <f t="shared" si="11"/>
        <v>100</v>
      </c>
      <c r="X43" s="1814"/>
      <c r="Y43" s="3220"/>
      <c r="Z43" s="1815" t="str">
        <f t="shared" si="15"/>
        <v>内部装修维护情况</v>
      </c>
      <c r="AA43" s="1812">
        <f t="shared" si="12"/>
        <v>1</v>
      </c>
      <c r="AB43" s="1812">
        <f t="shared" si="13"/>
        <v>1</v>
      </c>
      <c r="AC43" s="1812">
        <f t="shared" si="14"/>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3"/>
      <c r="M44" s="1134"/>
      <c r="N44" s="1134"/>
      <c r="O44" s="1134"/>
      <c r="P44" s="3218"/>
      <c r="Q44" s="1796">
        <f t="shared" si="8"/>
        <v>111</v>
      </c>
      <c r="R44" s="770" t="s">
        <v>21</v>
      </c>
      <c r="S44" s="771">
        <f t="shared" si="9"/>
        <v>100</v>
      </c>
      <c r="T44" s="770" t="s">
        <v>21</v>
      </c>
      <c r="U44" s="771">
        <f t="shared" si="10"/>
        <v>100</v>
      </c>
      <c r="V44" s="770" t="s">
        <v>21</v>
      </c>
      <c r="W44" s="771">
        <f t="shared" si="11"/>
        <v>100</v>
      </c>
      <c r="X44" s="772"/>
      <c r="Y44" s="3220"/>
      <c r="Z44" s="55">
        <f t="shared" si="15"/>
        <v>111</v>
      </c>
      <c r="AA44" s="773">
        <f t="shared" si="12"/>
        <v>1</v>
      </c>
      <c r="AB44" s="773">
        <f t="shared" si="13"/>
        <v>1</v>
      </c>
      <c r="AC44" s="773">
        <f t="shared" si="14"/>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1"/>
      <c r="M45" s="1132"/>
      <c r="N45" s="1132"/>
      <c r="O45" s="1132"/>
      <c r="P45" s="3218"/>
      <c r="Q45" s="1811">
        <f t="shared" si="8"/>
        <v>111</v>
      </c>
      <c r="R45" s="774" t="s">
        <v>21</v>
      </c>
      <c r="S45" s="775">
        <f t="shared" si="9"/>
        <v>100</v>
      </c>
      <c r="T45" s="774" t="s">
        <v>21</v>
      </c>
      <c r="U45" s="775">
        <f t="shared" si="10"/>
        <v>100</v>
      </c>
      <c r="V45" s="774" t="s">
        <v>21</v>
      </c>
      <c r="W45" s="775">
        <f t="shared" si="11"/>
        <v>100</v>
      </c>
      <c r="X45" s="1814"/>
      <c r="Y45" s="3220"/>
      <c r="Z45" s="1815">
        <f t="shared" si="15"/>
        <v>111</v>
      </c>
      <c r="AA45" s="1812">
        <f t="shared" si="12"/>
        <v>1</v>
      </c>
      <c r="AB45" s="1812">
        <f t="shared" si="13"/>
        <v>1</v>
      </c>
      <c r="AC45" s="1812">
        <f t="shared" si="14"/>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1"/>
      <c r="M46" s="1132"/>
      <c r="N46" s="1132"/>
      <c r="O46" s="1132"/>
      <c r="P46" s="3219"/>
      <c r="Q46" s="1811">
        <f t="shared" si="8"/>
        <v>111</v>
      </c>
      <c r="R46" s="774" t="s">
        <v>20</v>
      </c>
      <c r="S46" s="775">
        <f t="shared" si="9"/>
        <v>100</v>
      </c>
      <c r="T46" s="774" t="s">
        <v>20</v>
      </c>
      <c r="U46" s="775">
        <f t="shared" si="10"/>
        <v>100</v>
      </c>
      <c r="V46" s="774" t="s">
        <v>20</v>
      </c>
      <c r="W46" s="775">
        <f t="shared" si="11"/>
        <v>100</v>
      </c>
      <c r="X46" s="1814"/>
      <c r="Y46" s="3221"/>
      <c r="Z46" s="1815">
        <f t="shared" si="15"/>
        <v>111</v>
      </c>
      <c r="AA46" s="1812">
        <f t="shared" si="12"/>
        <v>1</v>
      </c>
      <c r="AB46" s="1812">
        <f t="shared" si="13"/>
        <v>1</v>
      </c>
      <c r="AC46" s="1812">
        <f t="shared" si="14"/>
        <v>1</v>
      </c>
    </row>
    <row r="47" spans="1:29" ht="15">
      <c r="A47" s="479" t="s">
        <v>2575</v>
      </c>
      <c r="B47" s="480"/>
      <c r="C47" s="1408" t="s">
        <v>19</v>
      </c>
      <c r="D47" s="1409"/>
      <c r="E47" s="1410"/>
      <c r="F47" s="1411"/>
      <c r="G47" s="1412"/>
      <c r="H47" s="1413"/>
      <c r="I47" s="1410"/>
      <c r="J47" s="1413"/>
      <c r="K47" s="2621"/>
      <c r="L47" s="1144"/>
      <c r="M47" s="1145"/>
      <c r="N47" s="1132"/>
      <c r="O47" s="1145"/>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2576</v>
      </c>
      <c r="B48" s="487"/>
      <c r="C48" s="1414" t="e">
        <f>R49</f>
        <v>#DIV/0!</v>
      </c>
      <c r="D48" s="1415"/>
      <c r="E48" s="1416" t="e">
        <f>R48</f>
        <v>#DIV/0!</v>
      </c>
      <c r="F48" s="1416"/>
      <c r="G48" s="1414" t="e">
        <f>T48</f>
        <v>#DIV/0!</v>
      </c>
      <c r="H48" s="1415"/>
      <c r="I48" s="1416" t="e">
        <f>V48</f>
        <v>#DIV/0!</v>
      </c>
      <c r="J48" s="1415"/>
      <c r="K48" s="2622"/>
      <c r="L48" s="1144"/>
      <c r="M48" s="1145"/>
      <c r="N48" s="1145"/>
      <c r="O48" s="1145"/>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2577</v>
      </c>
      <c r="B49" s="493"/>
      <c r="C49" s="1417" t="e">
        <f>R49</f>
        <v>#DIV/0!</v>
      </c>
      <c r="D49" s="1418"/>
      <c r="E49" s="1418"/>
      <c r="F49" s="1418"/>
      <c r="G49" s="1418"/>
      <c r="H49" s="1418"/>
      <c r="I49" s="1418"/>
      <c r="J49" s="1418"/>
      <c r="K49" s="2623"/>
      <c r="L49" s="1144"/>
      <c r="M49" s="1145"/>
      <c r="N49" s="1145"/>
      <c r="O49" s="1145"/>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5"/>
    </row>
    <row r="55" spans="1:29" s="502"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3" t="s">
        <v>2581</v>
      </c>
      <c r="B57" s="759"/>
      <c r="C57" s="764"/>
      <c r="D57" s="764"/>
      <c r="E57" s="764"/>
      <c r="F57" s="765"/>
      <c r="G57" s="765"/>
      <c r="H57" s="764"/>
      <c r="I57" s="764"/>
      <c r="J57" s="764"/>
      <c r="K57" s="1161"/>
      <c r="L57" s="1162"/>
      <c r="M57" s="1160"/>
      <c r="N57" s="1160"/>
      <c r="O57" s="1160"/>
      <c r="P57" s="2626"/>
      <c r="Q57" s="504"/>
    </row>
    <row r="58" spans="1:29" s="508" customFormat="1" ht="15">
      <c r="A58" s="505" t="s">
        <v>2582</v>
      </c>
      <c r="B58" s="506"/>
      <c r="C58" s="1577" t="str">
        <f>YEAR(C7)&amp;"-"&amp;MONTH(C7)</f>
        <v>2018-12</v>
      </c>
      <c r="D58" s="1576">
        <f>EDATE(C58,-1)</f>
        <v>43405</v>
      </c>
      <c r="E58" s="1576">
        <f>EDATE(D58,-1)</f>
        <v>43374</v>
      </c>
      <c r="F58" s="1576">
        <f t="shared" ref="F58:O58" si="16">EDATE(E58,-1)</f>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 t="shared" si="16"/>
        <v>43070</v>
      </c>
      <c r="P58" s="1571"/>
    </row>
    <row r="59" spans="1:29" s="117" customFormat="1" ht="15">
      <c r="A59" s="509"/>
      <c r="B59" s="2627"/>
      <c r="C59" s="1574">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2"/>
      <c r="O61" s="1152"/>
      <c r="P61" s="2629"/>
      <c r="Q61" s="504"/>
    </row>
    <row r="62" spans="1:29" s="117" customFormat="1" ht="15.75" thickBot="1">
      <c r="A62" s="521"/>
      <c r="B62" s="510"/>
      <c r="C62" s="511">
        <v>100</v>
      </c>
      <c r="D62" s="512"/>
      <c r="E62" s="512"/>
      <c r="F62" s="512"/>
      <c r="G62" s="512"/>
      <c r="H62" s="512"/>
      <c r="I62" s="512"/>
      <c r="J62" s="512"/>
      <c r="K62" s="512"/>
      <c r="L62" s="512"/>
      <c r="M62" s="514"/>
      <c r="N62" s="1152"/>
      <c r="O62" s="1152"/>
      <c r="P62" s="2628"/>
      <c r="Q62" s="504"/>
    </row>
    <row r="63" spans="1:29">
      <c r="A63" s="527" t="s">
        <v>2586</v>
      </c>
      <c r="B63" s="528" t="s">
        <v>2552</v>
      </c>
      <c r="C63" s="529">
        <f>C9</f>
        <v>0</v>
      </c>
      <c r="D63" s="530"/>
      <c r="E63" s="530"/>
      <c r="F63" s="530"/>
      <c r="G63" s="530"/>
      <c r="H63" s="530"/>
      <c r="I63" s="530"/>
      <c r="J63" s="530"/>
      <c r="K63" s="531"/>
      <c r="L63" s="532"/>
      <c r="M63" s="533"/>
      <c r="N63" s="1153"/>
      <c r="O63" s="1153"/>
      <c r="P63" s="2630"/>
      <c r="Q63" s="504"/>
    </row>
    <row r="64" spans="1:29" ht="15.75" thickBot="1">
      <c r="A64" s="534"/>
      <c r="B64" s="535"/>
      <c r="C64" s="536">
        <v>100</v>
      </c>
      <c r="D64" s="536"/>
      <c r="E64" s="536"/>
      <c r="F64" s="536"/>
      <c r="G64" s="536"/>
      <c r="H64" s="536"/>
      <c r="I64" s="536"/>
      <c r="J64" s="536"/>
      <c r="K64" s="536"/>
      <c r="L64" s="536"/>
      <c r="M64" s="537"/>
      <c r="N64" s="1154"/>
      <c r="O64" s="1154"/>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4"/>
      <c r="O66" s="1154"/>
      <c r="P66" s="2630"/>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4"/>
      <c r="O67" s="1154"/>
      <c r="P67" s="2630"/>
      <c r="Q67" s="504"/>
    </row>
    <row r="68" spans="1:17" ht="15">
      <c r="A68" s="534"/>
      <c r="B68" s="548"/>
      <c r="C68" s="549"/>
      <c r="D68" s="549"/>
      <c r="E68" s="549"/>
      <c r="F68" s="549"/>
      <c r="G68" s="549"/>
      <c r="H68" s="549"/>
      <c r="I68" s="549"/>
      <c r="J68" s="549"/>
      <c r="K68" s="550"/>
      <c r="L68" s="551"/>
      <c r="M68" s="552"/>
      <c r="N68" s="1153"/>
      <c r="O68" s="1153"/>
      <c r="P68" s="263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4"/>
      <c r="O69" s="1154"/>
      <c r="P69" s="2630"/>
      <c r="Q69" s="504"/>
    </row>
    <row r="70" spans="1:17" s="471" customFormat="1" ht="15.75" thickTop="1">
      <c r="A70" s="553"/>
      <c r="B70" s="538">
        <f>B12</f>
        <v>111</v>
      </c>
      <c r="C70" s="554"/>
      <c r="D70" s="554"/>
      <c r="E70" s="554"/>
      <c r="F70" s="554"/>
      <c r="G70" s="554"/>
      <c r="H70" s="555"/>
      <c r="I70" s="555"/>
      <c r="J70" s="555"/>
      <c r="K70" s="555"/>
      <c r="L70" s="556"/>
      <c r="M70" s="557"/>
      <c r="N70" s="1155"/>
      <c r="O70" s="1155"/>
      <c r="P70" s="2631"/>
      <c r="Q70" s="559"/>
    </row>
    <row r="71" spans="1:17" s="471" customFormat="1" ht="15.75" thickBot="1">
      <c r="A71" s="553"/>
      <c r="B71" s="543"/>
      <c r="C71" s="560"/>
      <c r="D71" s="536"/>
      <c r="E71" s="536"/>
      <c r="F71" s="536"/>
      <c r="G71" s="536"/>
      <c r="H71" s="536"/>
      <c r="I71" s="536"/>
      <c r="J71" s="536"/>
      <c r="K71" s="536"/>
      <c r="L71" s="536"/>
      <c r="M71" s="537"/>
      <c r="N71" s="1154"/>
      <c r="O71" s="1154"/>
      <c r="P71" s="2631"/>
      <c r="Q71" s="559"/>
    </row>
    <row r="72" spans="1:17" s="471" customFormat="1" ht="15.75" thickTop="1">
      <c r="A72" s="553"/>
      <c r="B72" s="538">
        <f>B13</f>
        <v>111</v>
      </c>
      <c r="C72" s="554"/>
      <c r="D72" s="554"/>
      <c r="E72" s="554"/>
      <c r="F72" s="554"/>
      <c r="G72" s="554"/>
      <c r="H72" s="555"/>
      <c r="I72" s="555"/>
      <c r="J72" s="555"/>
      <c r="K72" s="555"/>
      <c r="L72" s="556"/>
      <c r="M72" s="557"/>
      <c r="N72" s="1155"/>
      <c r="O72" s="1155"/>
      <c r="P72" s="2632"/>
      <c r="Q72" s="561"/>
    </row>
    <row r="73" spans="1:17" s="471" customFormat="1" ht="15.75" thickBot="1">
      <c r="A73" s="553"/>
      <c r="B73" s="543"/>
      <c r="C73" s="560"/>
      <c r="D73" s="560"/>
      <c r="E73" s="560"/>
      <c r="F73" s="560"/>
      <c r="G73" s="560"/>
      <c r="H73" s="562"/>
      <c r="I73" s="562"/>
      <c r="J73" s="562"/>
      <c r="K73" s="562"/>
      <c r="L73" s="562"/>
      <c r="M73" s="563"/>
      <c r="N73" s="1155"/>
      <c r="O73" s="1155"/>
      <c r="P73" s="2631"/>
      <c r="Q73" s="559"/>
    </row>
    <row r="74" spans="1:17" s="471" customFormat="1" ht="15.75" thickTop="1">
      <c r="A74" s="553"/>
      <c r="B74" s="546">
        <f>B14</f>
        <v>111</v>
      </c>
      <c r="C74" s="554"/>
      <c r="D74" s="554"/>
      <c r="E74" s="554"/>
      <c r="F74" s="554"/>
      <c r="G74" s="523"/>
      <c r="H74" s="564"/>
      <c r="I74" s="564"/>
      <c r="J74" s="564"/>
      <c r="K74" s="564"/>
      <c r="L74" s="565"/>
      <c r="M74" s="566"/>
      <c r="N74" s="1155"/>
      <c r="O74" s="1155"/>
      <c r="P74" s="2633"/>
      <c r="Q74" s="559"/>
    </row>
    <row r="75" spans="1:17" s="471" customFormat="1" ht="15.75" thickBot="1">
      <c r="A75" s="568"/>
      <c r="B75" s="569"/>
      <c r="C75" s="570"/>
      <c r="D75" s="570"/>
      <c r="E75" s="570"/>
      <c r="F75" s="570"/>
      <c r="G75" s="570"/>
      <c r="H75" s="571"/>
      <c r="I75" s="571"/>
      <c r="J75" s="571"/>
      <c r="K75" s="571"/>
      <c r="L75" s="571"/>
      <c r="M75" s="572"/>
      <c r="N75" s="1155"/>
      <c r="O75" s="1155"/>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3"/>
      <c r="N82" s="1154"/>
      <c r="O82" s="1154"/>
      <c r="P82" s="263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4"/>
      <c r="O83" s="1154"/>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75" thickTop="1">
      <c r="A86" s="579"/>
      <c r="B86" s="538" t="s">
        <v>2608</v>
      </c>
      <c r="C86" s="554"/>
      <c r="D86" s="554"/>
      <c r="E86" s="554"/>
      <c r="F86" s="554"/>
      <c r="G86" s="554"/>
      <c r="H86" s="554"/>
      <c r="I86" s="554"/>
      <c r="J86" s="554"/>
      <c r="K86" s="554"/>
      <c r="L86" s="580"/>
      <c r="M86" s="581"/>
      <c r="N86" s="1152"/>
      <c r="O86" s="1152"/>
      <c r="P86" s="263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0"/>
      <c r="Q87" s="504"/>
    </row>
    <row r="88" spans="1:17" s="117" customFormat="1" ht="15.75" thickTop="1">
      <c r="A88" s="579"/>
      <c r="B88" s="538" t="s">
        <v>2609</v>
      </c>
      <c r="C88" s="554"/>
      <c r="D88" s="554"/>
      <c r="E88" s="554"/>
      <c r="F88" s="2635"/>
      <c r="G88" s="554"/>
      <c r="H88" s="554"/>
      <c r="I88" s="554"/>
      <c r="J88" s="554"/>
      <c r="K88" s="554"/>
      <c r="L88" s="554"/>
      <c r="M88" s="581"/>
      <c r="N88" s="1152"/>
      <c r="O88" s="1152"/>
      <c r="P88" s="263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4"/>
      <c r="O89" s="1154"/>
      <c r="P89" s="2630"/>
      <c r="Q89" s="504"/>
    </row>
    <row r="90" spans="1:17" s="471" customFormat="1" ht="15.75" thickTop="1">
      <c r="A90" s="553"/>
      <c r="B90" s="538">
        <f>B27</f>
        <v>111</v>
      </c>
      <c r="C90" s="554"/>
      <c r="D90" s="554"/>
      <c r="E90" s="554"/>
      <c r="F90" s="554"/>
      <c r="G90" s="554"/>
      <c r="H90" s="555"/>
      <c r="I90" s="555"/>
      <c r="J90" s="555"/>
      <c r="K90" s="555"/>
      <c r="L90" s="556"/>
      <c r="M90" s="557"/>
      <c r="N90" s="1155"/>
      <c r="O90" s="1155"/>
      <c r="P90" s="2631"/>
      <c r="Q90" s="559"/>
    </row>
    <row r="91" spans="1:17" s="471" customFormat="1" ht="15.75" thickBot="1">
      <c r="A91" s="553"/>
      <c r="B91" s="543"/>
      <c r="C91" s="560"/>
      <c r="D91" s="560"/>
      <c r="E91" s="560"/>
      <c r="F91" s="560"/>
      <c r="G91" s="560"/>
      <c r="H91" s="562"/>
      <c r="I91" s="562"/>
      <c r="J91" s="562"/>
      <c r="K91" s="562"/>
      <c r="L91" s="562"/>
      <c r="M91" s="563"/>
      <c r="N91" s="1155"/>
      <c r="O91" s="1155"/>
      <c r="P91" s="2631"/>
      <c r="Q91" s="559"/>
    </row>
    <row r="92" spans="1:17" ht="15.75" thickTop="1">
      <c r="A92" s="534"/>
      <c r="B92" s="538">
        <f>B28</f>
        <v>111</v>
      </c>
      <c r="C92" s="554"/>
      <c r="D92" s="554"/>
      <c r="E92" s="554"/>
      <c r="F92" s="554"/>
      <c r="G92" s="583"/>
      <c r="H92" s="583"/>
      <c r="I92" s="583"/>
      <c r="J92" s="583"/>
      <c r="K92" s="584"/>
      <c r="L92" s="585"/>
      <c r="M92" s="586"/>
      <c r="N92" s="1153"/>
      <c r="O92" s="1153"/>
      <c r="P92" s="2630"/>
      <c r="Q92" s="504"/>
    </row>
    <row r="93" spans="1:17" ht="15.75" thickBot="1">
      <c r="A93" s="534"/>
      <c r="B93" s="543"/>
      <c r="C93" s="560"/>
      <c r="D93" s="536"/>
      <c r="E93" s="536"/>
      <c r="F93" s="536"/>
      <c r="G93" s="536"/>
      <c r="H93" s="536"/>
      <c r="I93" s="536"/>
      <c r="J93" s="536"/>
      <c r="K93" s="536"/>
      <c r="L93" s="536"/>
      <c r="M93" s="537"/>
      <c r="N93" s="1154"/>
      <c r="O93" s="1154"/>
      <c r="P93" s="2630"/>
      <c r="Q93" s="504"/>
    </row>
    <row r="94" spans="1:17" ht="15.75" thickTop="1">
      <c r="A94" s="534"/>
      <c r="B94" s="538">
        <f>B29</f>
        <v>111</v>
      </c>
      <c r="C94" s="554"/>
      <c r="D94" s="554"/>
      <c r="E94" s="554"/>
      <c r="F94" s="554"/>
      <c r="G94" s="583"/>
      <c r="H94" s="583"/>
      <c r="I94" s="583"/>
      <c r="J94" s="583"/>
      <c r="K94" s="584"/>
      <c r="L94" s="585"/>
      <c r="M94" s="586"/>
      <c r="N94" s="1153"/>
      <c r="O94" s="1153"/>
      <c r="P94" s="2630"/>
      <c r="Q94" s="504"/>
    </row>
    <row r="95" spans="1:17" ht="15.75" thickBot="1">
      <c r="A95" s="534"/>
      <c r="B95" s="543"/>
      <c r="C95" s="560"/>
      <c r="D95" s="560"/>
      <c r="E95" s="560"/>
      <c r="F95" s="560"/>
      <c r="G95" s="536"/>
      <c r="H95" s="536"/>
      <c r="I95" s="536"/>
      <c r="J95" s="536"/>
      <c r="K95" s="536"/>
      <c r="L95" s="536"/>
      <c r="M95" s="537"/>
      <c r="N95" s="1154"/>
      <c r="O95" s="1154"/>
      <c r="P95" s="2630"/>
      <c r="Q95" s="504"/>
    </row>
    <row r="96" spans="1:17" ht="15.75" thickTop="1">
      <c r="A96" s="534"/>
      <c r="B96" s="538">
        <f>B30</f>
        <v>111</v>
      </c>
      <c r="C96" s="554"/>
      <c r="D96" s="554"/>
      <c r="E96" s="554"/>
      <c r="F96" s="554"/>
      <c r="G96" s="583"/>
      <c r="H96" s="583"/>
      <c r="I96" s="583"/>
      <c r="J96" s="583"/>
      <c r="K96" s="584"/>
      <c r="L96" s="585"/>
      <c r="M96" s="586"/>
      <c r="N96" s="1153"/>
      <c r="O96" s="1153"/>
      <c r="P96" s="2630"/>
      <c r="Q96" s="504"/>
    </row>
    <row r="97" spans="1:17" ht="15.75" thickBot="1">
      <c r="A97" s="534"/>
      <c r="B97" s="543"/>
      <c r="C97" s="570"/>
      <c r="D97" s="570"/>
      <c r="E97" s="570"/>
      <c r="F97" s="570"/>
      <c r="G97" s="536"/>
      <c r="H97" s="536"/>
      <c r="I97" s="536"/>
      <c r="J97" s="536"/>
      <c r="K97" s="536"/>
      <c r="L97" s="536"/>
      <c r="M97" s="537"/>
      <c r="N97" s="1154"/>
      <c r="O97" s="1154"/>
      <c r="P97" s="2630"/>
      <c r="Q97" s="504"/>
    </row>
    <row r="98" spans="1:17" ht="15.75" thickTop="1">
      <c r="A98" s="534"/>
      <c r="B98" s="546">
        <f>B31</f>
        <v>111</v>
      </c>
      <c r="C98" s="587"/>
      <c r="D98" s="587"/>
      <c r="E98" s="587"/>
      <c r="F98" s="587"/>
      <c r="G98" s="587"/>
      <c r="H98" s="587"/>
      <c r="I98" s="587"/>
      <c r="J98" s="587"/>
      <c r="K98" s="588"/>
      <c r="L98" s="589"/>
      <c r="M98" s="590"/>
      <c r="N98" s="1153"/>
      <c r="O98" s="1153"/>
      <c r="P98" s="2630"/>
      <c r="Q98" s="504"/>
    </row>
    <row r="99" spans="1:17" ht="15.75" thickBot="1">
      <c r="A99" s="2636"/>
      <c r="B99" s="569"/>
      <c r="C99" s="591"/>
      <c r="D99" s="591"/>
      <c r="E99" s="591"/>
      <c r="F99" s="591"/>
      <c r="G99" s="591"/>
      <c r="H99" s="591"/>
      <c r="I99" s="591"/>
      <c r="J99" s="591"/>
      <c r="K99" s="591"/>
      <c r="L99" s="591"/>
      <c r="M99" s="592"/>
      <c r="N99" s="1154"/>
      <c r="O99" s="1154"/>
      <c r="P99" s="2630"/>
      <c r="Q99" s="504"/>
    </row>
    <row r="100" spans="1:17">
      <c r="A100" s="527" t="s">
        <v>2561</v>
      </c>
      <c r="B100" s="528" t="s">
        <v>2610</v>
      </c>
      <c r="C100" s="530"/>
      <c r="D100" s="530"/>
      <c r="E100" s="530"/>
      <c r="F100" s="530"/>
      <c r="G100" s="530"/>
      <c r="H100" s="530"/>
      <c r="I100" s="530"/>
      <c r="J100" s="530"/>
      <c r="K100" s="531"/>
      <c r="L100" s="532"/>
      <c r="M100" s="533"/>
      <c r="N100" s="1153"/>
      <c r="O100" s="1153"/>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4"/>
      <c r="O101" s="1154"/>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4"/>
      <c r="O106" s="1154"/>
      <c r="P106" s="2630"/>
      <c r="Q106" s="504"/>
    </row>
    <row r="107" spans="1:17" ht="15" thickTop="1">
      <c r="A107" s="599"/>
      <c r="B107" s="538" t="s">
        <v>2613</v>
      </c>
      <c r="C107" s="583"/>
      <c r="D107" s="583"/>
      <c r="E107" s="583"/>
      <c r="F107" s="583"/>
      <c r="G107" s="583"/>
      <c r="H107" s="583"/>
      <c r="I107" s="583"/>
      <c r="J107" s="583"/>
      <c r="K107" s="584"/>
      <c r="L107" s="585"/>
      <c r="M107" s="586"/>
      <c r="N107" s="1153"/>
      <c r="O107" s="1153"/>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4"/>
      <c r="O108" s="1154"/>
      <c r="P108" s="2630"/>
      <c r="Q108" s="504"/>
    </row>
    <row r="109" spans="1:17" ht="15" thickTop="1">
      <c r="A109" s="599"/>
      <c r="B109" s="538" t="s">
        <v>2614</v>
      </c>
      <c r="C109" s="554"/>
      <c r="D109" s="554"/>
      <c r="E109" s="554"/>
      <c r="F109" s="583"/>
      <c r="G109" s="583"/>
      <c r="H109" s="583"/>
      <c r="I109" s="583"/>
      <c r="J109" s="583"/>
      <c r="K109" s="584"/>
      <c r="L109" s="585"/>
      <c r="M109" s="586"/>
      <c r="N109" s="1153"/>
      <c r="O109" s="1153"/>
      <c r="P109" s="263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4"/>
      <c r="O110" s="1154"/>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1"/>
      <c r="Q113" s="559"/>
    </row>
    <row r="114" spans="1:17" ht="15" thickTop="1">
      <c r="A114" s="599"/>
      <c r="B114" s="538" t="s">
        <v>2615</v>
      </c>
      <c r="C114" s="554"/>
      <c r="D114" s="554"/>
      <c r="E114" s="583"/>
      <c r="F114" s="583"/>
      <c r="G114" s="583"/>
      <c r="H114" s="583"/>
      <c r="I114" s="583"/>
      <c r="J114" s="583"/>
      <c r="K114" s="584"/>
      <c r="L114" s="585"/>
      <c r="M114" s="586"/>
      <c r="N114" s="1153"/>
      <c r="O114" s="1153"/>
      <c r="P114" s="263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4"/>
      <c r="O115" s="1154"/>
      <c r="P115" s="2630"/>
      <c r="Q115" s="504"/>
    </row>
    <row r="116" spans="1:17" ht="15" thickTop="1">
      <c r="A116" s="599"/>
      <c r="B116" s="538" t="s">
        <v>2616</v>
      </c>
      <c r="C116" s="554"/>
      <c r="D116" s="554"/>
      <c r="E116" s="554"/>
      <c r="F116" s="554"/>
      <c r="G116" s="554"/>
      <c r="H116" s="583"/>
      <c r="I116" s="583"/>
      <c r="J116" s="583"/>
      <c r="K116" s="584"/>
      <c r="L116" s="585"/>
      <c r="M116" s="586"/>
      <c r="N116" s="1153"/>
      <c r="O116" s="1153"/>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2617</v>
      </c>
      <c r="C118" s="583"/>
      <c r="D118" s="583"/>
      <c r="E118" s="583"/>
      <c r="F118" s="583"/>
      <c r="G118" s="583"/>
      <c r="H118" s="583"/>
      <c r="I118" s="583"/>
      <c r="J118" s="583"/>
      <c r="K118" s="584"/>
      <c r="L118" s="585"/>
      <c r="M118" s="586"/>
      <c r="N118" s="1153"/>
      <c r="O118" s="1153"/>
      <c r="P118" s="263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4"/>
      <c r="O119" s="1154"/>
      <c r="P119" s="2630"/>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31"/>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4"/>
      <c r="O123" s="1154"/>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1"/>
      <c r="Q127" s="559"/>
    </row>
    <row r="128" spans="1:17" ht="15" thickTop="1">
      <c r="A128" s="599"/>
      <c r="B128" s="538">
        <f>B45</f>
        <v>111</v>
      </c>
      <c r="C128" s="554"/>
      <c r="D128" s="554"/>
      <c r="E128" s="554"/>
      <c r="F128" s="554"/>
      <c r="G128" s="583"/>
      <c r="H128" s="583"/>
      <c r="I128" s="583"/>
      <c r="J128" s="583"/>
      <c r="K128" s="584"/>
      <c r="L128" s="585"/>
      <c r="M128" s="586"/>
      <c r="N128" s="1153"/>
      <c r="O128" s="1153"/>
      <c r="P128" s="2630"/>
      <c r="Q128" s="504"/>
    </row>
    <row r="129" spans="1:17" ht="15.75" thickBot="1">
      <c r="A129" s="534"/>
      <c r="B129" s="543"/>
      <c r="C129" s="560"/>
      <c r="D129" s="560"/>
      <c r="E129" s="560"/>
      <c r="F129" s="560"/>
      <c r="G129" s="536"/>
      <c r="H129" s="536"/>
      <c r="I129" s="536"/>
      <c r="J129" s="536"/>
      <c r="K129" s="536"/>
      <c r="L129" s="536"/>
      <c r="M129" s="537"/>
      <c r="N129" s="1154"/>
      <c r="O129" s="1154"/>
      <c r="P129" s="2630"/>
      <c r="Q129" s="504"/>
    </row>
    <row r="130" spans="1:17" ht="15" thickTop="1">
      <c r="A130" s="599"/>
      <c r="B130" s="546">
        <f>B46</f>
        <v>111</v>
      </c>
      <c r="C130" s="554"/>
      <c r="D130" s="554"/>
      <c r="E130" s="554"/>
      <c r="F130" s="554"/>
      <c r="G130" s="587"/>
      <c r="H130" s="587"/>
      <c r="I130" s="587"/>
      <c r="J130" s="587"/>
      <c r="K130" s="523"/>
      <c r="L130" s="524"/>
      <c r="M130" s="590"/>
      <c r="N130" s="1153"/>
      <c r="O130" s="1153"/>
      <c r="P130" s="2630"/>
      <c r="Q130" s="504"/>
    </row>
    <row r="131" spans="1:17" ht="15.75" thickBot="1">
      <c r="A131" s="2636"/>
      <c r="B131" s="569"/>
      <c r="C131" s="570"/>
      <c r="D131" s="570"/>
      <c r="E131" s="570"/>
      <c r="F131" s="570"/>
      <c r="G131" s="591"/>
      <c r="H131" s="591"/>
      <c r="I131" s="591"/>
      <c r="J131" s="591"/>
      <c r="K131" s="591"/>
      <c r="L131" s="591"/>
      <c r="M131" s="592"/>
      <c r="N131" s="1154"/>
      <c r="O131" s="1154"/>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5">
        <v>6</v>
      </c>
      <c r="C139" s="1086">
        <v>96</v>
      </c>
      <c r="D139" s="2648" t="s">
        <v>2629</v>
      </c>
      <c r="E139" s="1087">
        <v>100</v>
      </c>
      <c r="F139" s="1088">
        <v>102.5</v>
      </c>
      <c r="G139" s="2648" t="s">
        <v>2629</v>
      </c>
      <c r="H139" s="1089">
        <v>105</v>
      </c>
      <c r="I139" s="2649" t="s">
        <v>2630</v>
      </c>
      <c r="J139" s="1086">
        <v>20</v>
      </c>
      <c r="K139" s="1090">
        <f>C145/(J139-2)</f>
        <v>4.0555555555555553E-3</v>
      </c>
    </row>
    <row r="140" spans="1:17" ht="15">
      <c r="B140" s="1091">
        <v>5</v>
      </c>
      <c r="C140" s="1092">
        <v>100</v>
      </c>
      <c r="D140" s="1092"/>
      <c r="E140" s="1093"/>
      <c r="F140" s="1094">
        <v>102</v>
      </c>
      <c r="G140" s="1092"/>
      <c r="H140" s="1095"/>
      <c r="I140" s="2650" t="s">
        <v>2631</v>
      </c>
      <c r="J140" s="315">
        <f>ROUNDUP((J139-1)/2,0)</f>
        <v>10</v>
      </c>
      <c r="K140" s="1096">
        <v>100</v>
      </c>
    </row>
    <row r="141" spans="1:17" ht="15">
      <c r="B141" s="1091">
        <v>4</v>
      </c>
      <c r="C141" s="1092">
        <v>102</v>
      </c>
      <c r="D141" s="1092"/>
      <c r="E141" s="1093"/>
      <c r="F141" s="1094">
        <v>101.5</v>
      </c>
      <c r="G141" s="1092"/>
      <c r="H141" s="1095"/>
      <c r="I141" s="2650" t="s">
        <v>2632</v>
      </c>
      <c r="J141" s="315">
        <v>1</v>
      </c>
      <c r="K141" s="1097">
        <f>ROUND(100+(J141-J140)*K139*100,1)</f>
        <v>96.4</v>
      </c>
    </row>
    <row r="142" spans="1:17" ht="15">
      <c r="B142" s="1091">
        <v>3</v>
      </c>
      <c r="C142" s="1092">
        <v>103</v>
      </c>
      <c r="D142" s="1092"/>
      <c r="E142" s="1093"/>
      <c r="F142" s="1094">
        <v>101</v>
      </c>
      <c r="G142" s="1092"/>
      <c r="H142" s="1095"/>
      <c r="I142" s="2650" t="s">
        <v>2633</v>
      </c>
      <c r="J142" s="315">
        <f>J139</f>
        <v>20</v>
      </c>
      <c r="K142" s="1098">
        <v>95</v>
      </c>
    </row>
    <row r="143" spans="1:17" ht="15">
      <c r="B143" s="1091">
        <v>2</v>
      </c>
      <c r="C143" s="1092">
        <v>100</v>
      </c>
      <c r="D143" s="1092"/>
      <c r="E143" s="1093"/>
      <c r="F143" s="1094">
        <v>100.5</v>
      </c>
      <c r="G143" s="1092"/>
      <c r="H143" s="1095"/>
      <c r="I143" s="2650" t="s">
        <v>2634</v>
      </c>
      <c r="J143" s="1092">
        <v>15</v>
      </c>
      <c r="K143" s="1097">
        <f>ROUND(100+(J143-J140)*K139*100,1)</f>
        <v>102</v>
      </c>
    </row>
    <row r="144" spans="1:17" ht="15">
      <c r="B144" s="1091">
        <v>1</v>
      </c>
      <c r="C144" s="1092">
        <v>98</v>
      </c>
      <c r="D144" s="2651" t="s">
        <v>2635</v>
      </c>
      <c r="E144" s="1093">
        <v>102</v>
      </c>
      <c r="F144" s="1099">
        <v>100</v>
      </c>
      <c r="G144" s="2651" t="s">
        <v>2635</v>
      </c>
      <c r="H144" s="1095">
        <v>105</v>
      </c>
      <c r="I144" s="2650" t="s">
        <v>2634</v>
      </c>
      <c r="J144" s="1092">
        <v>18</v>
      </c>
      <c r="K144" s="1097">
        <f>ROUND(100+(J144-J140)*K139*100,1)</f>
        <v>103.2</v>
      </c>
    </row>
    <row r="145" spans="2:11" ht="15.75" thickBot="1">
      <c r="B145" s="2652" t="s">
        <v>2636</v>
      </c>
      <c r="C145" s="1100">
        <f>ROUND(MAX(C139:C144)/MIN(C139:C144)-1,3)</f>
        <v>7.2999999999999995E-2</v>
      </c>
      <c r="D145" s="1101"/>
      <c r="E145" s="1101"/>
      <c r="F145" s="2653" t="s">
        <v>2637</v>
      </c>
      <c r="G145" s="2654"/>
      <c r="H145" s="2655"/>
      <c r="I145" s="2656" t="s">
        <v>2634</v>
      </c>
      <c r="J145" s="1102">
        <v>8</v>
      </c>
      <c r="K145" s="1103">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5" stopIfTrue="1" operator="containsText" text="超过">
      <formula>NOT(ISERROR(SEARCH("超过",F52)))</formula>
    </cfRule>
  </conditionalFormatting>
  <conditionalFormatting sqref="J54">
    <cfRule type="containsText" dxfId="128" priority="14" stopIfTrue="1" operator="containsText" text="超过">
      <formula>NOT(ISERROR(SEARCH("超过",J54)))</formula>
    </cfRule>
  </conditionalFormatting>
  <conditionalFormatting sqref="H54">
    <cfRule type="containsText" dxfId="127" priority="13" stopIfTrue="1" operator="containsText" text="超过">
      <formula>NOT(ISERROR(SEARCH("超过",H54)))</formula>
    </cfRule>
  </conditionalFormatting>
  <conditionalFormatting sqref="F54">
    <cfRule type="containsText" dxfId="126" priority="12" stopIfTrue="1" operator="containsText" text="超过">
      <formula>NOT(ISERROR(SEARCH("超过",F54)))</formula>
    </cfRule>
  </conditionalFormatting>
  <conditionalFormatting sqref="F53 H53 J53">
    <cfRule type="containsText" dxfId="125" priority="11" stopIfTrue="1" operator="containsText" text="超过">
      <formula>NOT(ISERROR(SEARCH("超过",F53)))</formula>
    </cfRule>
  </conditionalFormatting>
  <conditionalFormatting sqref="E52">
    <cfRule type="expression" dxfId="124" priority="10"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2" t="s">
        <v>2640</v>
      </c>
      <c r="C1" s="1635" t="s">
        <v>2528</v>
      </c>
      <c r="D1" s="1622"/>
      <c r="E1" s="2657"/>
      <c r="F1" s="2584"/>
      <c r="G1" s="1632" t="s">
        <v>2641</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8" customFormat="1" ht="28.5" customHeight="1" thickTop="1">
      <c r="A2" s="1618" t="s">
        <v>2325</v>
      </c>
      <c r="B2" s="1419" t="e">
        <f ca="1">IF(C2="——",ROUND(C49*D3/10000,0),ROUND(C49*D3/10000,0)-D2)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8" customFormat="1" ht="28.5" customHeight="1" thickBot="1">
      <c r="A3" s="247" t="s">
        <v>2327</v>
      </c>
      <c r="B3" s="609" t="e">
        <f ca="1">IF(C2="——",C49,ROUND(B2*10000/D3,0))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208" t="s">
        <v>2646</v>
      </c>
      <c r="AC4" s="3178" t="s">
        <v>2647</v>
      </c>
    </row>
    <row r="5" spans="1:29"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208"/>
      <c r="AC5" s="3179"/>
    </row>
    <row r="6" spans="1:29" ht="15.75" thickBot="1">
      <c r="A6" s="406"/>
      <c r="B6" s="407"/>
      <c r="C6" s="3191" t="s">
        <v>2544</v>
      </c>
      <c r="D6" s="3192"/>
      <c r="E6" s="3193" t="s">
        <v>2544</v>
      </c>
      <c r="F6" s="3194"/>
      <c r="G6" s="3191" t="s">
        <v>2544</v>
      </c>
      <c r="H6" s="3192"/>
      <c r="I6" s="3191" t="s">
        <v>2544</v>
      </c>
      <c r="J6" s="3192"/>
      <c r="K6" s="610" t="s">
        <v>2545</v>
      </c>
      <c r="L6" s="1131"/>
      <c r="M6" s="1132"/>
      <c r="N6" s="1132"/>
      <c r="O6" s="1132"/>
      <c r="P6" s="3204"/>
      <c r="Q6" s="3205"/>
      <c r="R6" s="3185"/>
      <c r="S6" s="3186"/>
      <c r="T6" s="3206"/>
      <c r="U6" s="3207"/>
      <c r="V6" s="3208"/>
      <c r="W6" s="3208"/>
      <c r="X6" s="1814"/>
      <c r="Y6" s="3206"/>
      <c r="Z6" s="3207"/>
      <c r="AA6" s="3180"/>
      <c r="AB6" s="3208"/>
      <c r="AC6" s="3180"/>
    </row>
    <row r="7" spans="1:29" s="117" customFormat="1" ht="15.7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95"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95"/>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95"/>
      <c r="Q11" s="1796"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5"/>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5"/>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5"/>
      <c r="Q14" s="1796">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2557</v>
      </c>
      <c r="B15" s="69" t="s">
        <v>2651</v>
      </c>
      <c r="C15" s="2603"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22" t="s">
        <v>2558</v>
      </c>
      <c r="Q15" s="1811" t="str">
        <f t="shared" si="6"/>
        <v>商业繁华度</v>
      </c>
      <c r="R15" s="774" t="s">
        <v>17</v>
      </c>
      <c r="S15" s="775">
        <f t="shared" si="0"/>
        <v>100</v>
      </c>
      <c r="T15" s="774" t="s">
        <v>17</v>
      </c>
      <c r="U15" s="775">
        <f t="shared" si="1"/>
        <v>100</v>
      </c>
      <c r="V15" s="774" t="s">
        <v>17</v>
      </c>
      <c r="W15" s="775">
        <f t="shared" si="2"/>
        <v>100</v>
      </c>
      <c r="X15" s="1814"/>
      <c r="Y15" s="3215"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23"/>
      <c r="Q16" s="1811"/>
      <c r="R16" s="774"/>
      <c r="S16" s="775"/>
      <c r="T16" s="774"/>
      <c r="U16" s="775"/>
      <c r="V16" s="774"/>
      <c r="W16" s="775"/>
      <c r="X16" s="1814"/>
      <c r="Y16" s="3216"/>
      <c r="Z16" s="1815"/>
      <c r="AA16" s="1812">
        <v>1</v>
      </c>
      <c r="AB16" s="1812">
        <v>1</v>
      </c>
      <c r="AC16" s="1812">
        <v>1</v>
      </c>
    </row>
    <row r="17" spans="1:29" ht="85.5">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23"/>
      <c r="Q17" s="1811" t="str">
        <f>B17</f>
        <v>交通便捷度</v>
      </c>
      <c r="R17" s="774" t="s">
        <v>17</v>
      </c>
      <c r="S17" s="775">
        <f>F17</f>
        <v>100</v>
      </c>
      <c r="T17" s="774" t="s">
        <v>17</v>
      </c>
      <c r="U17" s="775">
        <f>H17</f>
        <v>100</v>
      </c>
      <c r="V17" s="774" t="s">
        <v>17</v>
      </c>
      <c r="W17" s="775">
        <f>J17</f>
        <v>100</v>
      </c>
      <c r="X17" s="1814"/>
      <c r="Y17" s="3216"/>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32"/>
      <c r="P18" s="3223"/>
      <c r="Q18" s="1811"/>
      <c r="R18" s="774"/>
      <c r="S18" s="775"/>
      <c r="T18" s="774"/>
      <c r="U18" s="775"/>
      <c r="V18" s="774"/>
      <c r="W18" s="775"/>
      <c r="X18" s="1814"/>
      <c r="Y18" s="3216"/>
      <c r="Z18" s="1815"/>
      <c r="AA18" s="1812">
        <v>1</v>
      </c>
      <c r="AB18" s="1812">
        <v>1</v>
      </c>
      <c r="AC18" s="1812">
        <v>1</v>
      </c>
    </row>
    <row r="19" spans="1:29" ht="42.75">
      <c r="A19" s="428"/>
      <c r="B19" s="451" t="s">
        <v>2652</v>
      </c>
      <c r="C19" s="2607"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23"/>
      <c r="Q19" s="1811" t="str">
        <f>B19</f>
        <v>公共配套设施</v>
      </c>
      <c r="R19" s="774" t="s">
        <v>17</v>
      </c>
      <c r="S19" s="775">
        <f>F19</f>
        <v>100</v>
      </c>
      <c r="T19" s="774" t="s">
        <v>17</v>
      </c>
      <c r="U19" s="775">
        <f>H19</f>
        <v>100</v>
      </c>
      <c r="V19" s="774" t="s">
        <v>17</v>
      </c>
      <c r="W19" s="775">
        <f>J19</f>
        <v>100</v>
      </c>
      <c r="X19" s="1814"/>
      <c r="Y19" s="3216"/>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32"/>
      <c r="P20" s="3223"/>
      <c r="Q20" s="1811"/>
      <c r="R20" s="774"/>
      <c r="S20" s="775"/>
      <c r="T20" s="774"/>
      <c r="U20" s="775"/>
      <c r="V20" s="774"/>
      <c r="W20" s="775"/>
      <c r="X20" s="1814"/>
      <c r="Y20" s="3216"/>
      <c r="Z20" s="1815"/>
      <c r="AA20" s="1812">
        <v>1</v>
      </c>
      <c r="AB20" s="1812">
        <v>1</v>
      </c>
      <c r="AC20" s="1812">
        <v>1</v>
      </c>
    </row>
    <row r="21" spans="1:29" ht="28.5">
      <c r="A21" s="428"/>
      <c r="B21" s="1385" t="s">
        <v>2653</v>
      </c>
      <c r="C21" s="2607"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23"/>
      <c r="Q21" s="1811" t="str">
        <f>B21</f>
        <v>基础设施水平</v>
      </c>
      <c r="R21" s="774" t="s">
        <v>17</v>
      </c>
      <c r="S21" s="775">
        <f>F21</f>
        <v>100</v>
      </c>
      <c r="T21" s="774" t="s">
        <v>17</v>
      </c>
      <c r="U21" s="775">
        <f>H21</f>
        <v>100</v>
      </c>
      <c r="V21" s="774" t="s">
        <v>17</v>
      </c>
      <c r="W21" s="775">
        <f>J21</f>
        <v>100</v>
      </c>
      <c r="X21" s="1814"/>
      <c r="Y21" s="3216"/>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32"/>
      <c r="P22" s="3223"/>
      <c r="Q22" s="1811"/>
      <c r="R22" s="774"/>
      <c r="S22" s="775"/>
      <c r="T22" s="774"/>
      <c r="U22" s="775"/>
      <c r="V22" s="774"/>
      <c r="W22" s="775"/>
      <c r="X22" s="1814"/>
      <c r="Y22" s="3216"/>
      <c r="Z22" s="1815"/>
      <c r="AA22" s="1812">
        <v>1</v>
      </c>
      <c r="AB22" s="1812">
        <v>1</v>
      </c>
      <c r="AC22" s="1812">
        <v>1</v>
      </c>
    </row>
    <row r="23" spans="1:29" ht="57">
      <c r="A23" s="428"/>
      <c r="B23" s="451" t="s">
        <v>2100</v>
      </c>
      <c r="C23" s="2664"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23"/>
      <c r="Q23" s="1811" t="str">
        <f>B23</f>
        <v>自然及人文环境</v>
      </c>
      <c r="R23" s="774" t="s">
        <v>17</v>
      </c>
      <c r="S23" s="775">
        <f>F23</f>
        <v>100</v>
      </c>
      <c r="T23" s="774" t="s">
        <v>17</v>
      </c>
      <c r="U23" s="775">
        <f>H23</f>
        <v>100</v>
      </c>
      <c r="V23" s="774" t="s">
        <v>17</v>
      </c>
      <c r="W23" s="775">
        <f>J23</f>
        <v>100</v>
      </c>
      <c r="X23" s="1814"/>
      <c r="Y23" s="3216"/>
      <c r="Z23" s="1815" t="str">
        <f>Q23</f>
        <v>自然及人文环境</v>
      </c>
      <c r="AA23" s="1812">
        <f t="shared" si="3"/>
        <v>1</v>
      </c>
      <c r="AB23" s="1812">
        <f t="shared" si="4"/>
        <v>1</v>
      </c>
      <c r="AC23" s="1812">
        <f t="shared" si="5"/>
        <v>1</v>
      </c>
    </row>
    <row r="24" spans="1:29" ht="15">
      <c r="A24" s="428"/>
      <c r="B24" s="456"/>
      <c r="C24" s="447"/>
      <c r="D24" s="448"/>
      <c r="E24" s="2605"/>
      <c r="F24" s="449"/>
      <c r="G24" s="2604"/>
      <c r="H24" s="448"/>
      <c r="I24" s="2605"/>
      <c r="J24" s="448"/>
      <c r="K24" s="615"/>
      <c r="L24" s="1141"/>
      <c r="M24" s="1132"/>
      <c r="N24" s="1132"/>
      <c r="O24" s="1132"/>
      <c r="P24" s="3223"/>
      <c r="Q24" s="1811"/>
      <c r="R24" s="774"/>
      <c r="S24" s="775"/>
      <c r="T24" s="774"/>
      <c r="U24" s="775"/>
      <c r="V24" s="774"/>
      <c r="W24" s="775"/>
      <c r="X24" s="1814"/>
      <c r="Y24" s="3216"/>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23"/>
      <c r="Q25" s="1811" t="str">
        <f t="shared" ref="Q25:Q46" si="8">B25</f>
        <v>临街状况</v>
      </c>
      <c r="R25" s="774" t="s">
        <v>17</v>
      </c>
      <c r="S25" s="775">
        <f>F25</f>
        <v>100</v>
      </c>
      <c r="T25" s="774" t="s">
        <v>17</v>
      </c>
      <c r="U25" s="775">
        <f>H25</f>
        <v>100</v>
      </c>
      <c r="V25" s="774" t="s">
        <v>17</v>
      </c>
      <c r="W25" s="775">
        <f>J25</f>
        <v>100</v>
      </c>
      <c r="X25" s="1814"/>
      <c r="Y25" s="3216"/>
      <c r="Z25" s="1815" t="str">
        <f>Q25</f>
        <v>临街状况</v>
      </c>
      <c r="AA25" s="1812">
        <f t="shared" si="3"/>
        <v>1</v>
      </c>
      <c r="AB25" s="1812">
        <f t="shared" si="4"/>
        <v>1</v>
      </c>
      <c r="AC25" s="1812">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23"/>
      <c r="Q26" s="1811" t="str">
        <f t="shared" si="8"/>
        <v>平面位置/可视性</v>
      </c>
      <c r="R26" s="774" t="s">
        <v>17</v>
      </c>
      <c r="S26" s="775">
        <f>F26</f>
        <v>100</v>
      </c>
      <c r="T26" s="774" t="s">
        <v>17</v>
      </c>
      <c r="U26" s="775">
        <f>H26</f>
        <v>100</v>
      </c>
      <c r="V26" s="774" t="s">
        <v>17</v>
      </c>
      <c r="W26" s="775">
        <f>J26</f>
        <v>100</v>
      </c>
      <c r="X26" s="1814"/>
      <c r="Y26" s="3216"/>
      <c r="Z26" s="1815" t="str">
        <f>Q26</f>
        <v>平面位置/可视性</v>
      </c>
      <c r="AA26" s="1812">
        <f t="shared" si="3"/>
        <v>1</v>
      </c>
      <c r="AB26" s="1812">
        <f t="shared" si="4"/>
        <v>1</v>
      </c>
      <c r="AC26" s="1812">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3"/>
      <c r="M27" s="1134"/>
      <c r="N27" s="1134"/>
      <c r="O27" s="1134"/>
      <c r="P27" s="3223"/>
      <c r="Q27" s="1796" t="str">
        <f t="shared" si="8"/>
        <v>人流量</v>
      </c>
      <c r="R27" s="770" t="s">
        <v>17</v>
      </c>
      <c r="S27" s="771">
        <f>F27</f>
        <v>100</v>
      </c>
      <c r="T27" s="770" t="s">
        <v>17</v>
      </c>
      <c r="U27" s="771">
        <f>H27</f>
        <v>100</v>
      </c>
      <c r="V27" s="770" t="s">
        <v>17</v>
      </c>
      <c r="W27" s="771">
        <f>J27</f>
        <v>100</v>
      </c>
      <c r="X27" s="772"/>
      <c r="Y27" s="3216"/>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23"/>
      <c r="Q28" s="1811" t="str">
        <f t="shared" si="8"/>
        <v>楼层</v>
      </c>
      <c r="R28" s="774" t="s">
        <v>17</v>
      </c>
      <c r="S28" s="775">
        <f t="shared" ref="S28:S46" si="9">F28</f>
        <v>100</v>
      </c>
      <c r="T28" s="774" t="s">
        <v>17</v>
      </c>
      <c r="U28" s="775">
        <f t="shared" ref="U28:U46" si="10">H28</f>
        <v>100</v>
      </c>
      <c r="V28" s="774" t="s">
        <v>17</v>
      </c>
      <c r="W28" s="775">
        <f t="shared" ref="W28:W46" si="11">J28</f>
        <v>100</v>
      </c>
      <c r="X28" s="1814"/>
      <c r="Y28" s="3216"/>
      <c r="Z28" s="1815" t="str">
        <f t="shared" ref="Z28:Z46" si="12">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3"/>
      <c r="Q29" s="1811">
        <f t="shared" si="8"/>
        <v>111</v>
      </c>
      <c r="R29" s="774" t="s">
        <v>17</v>
      </c>
      <c r="S29" s="775">
        <f t="shared" si="9"/>
        <v>100</v>
      </c>
      <c r="T29" s="774" t="s">
        <v>17</v>
      </c>
      <c r="U29" s="775">
        <f t="shared" si="10"/>
        <v>100</v>
      </c>
      <c r="V29" s="774" t="s">
        <v>17</v>
      </c>
      <c r="W29" s="775">
        <f t="shared" si="11"/>
        <v>100</v>
      </c>
      <c r="X29" s="1814"/>
      <c r="Y29" s="3216"/>
      <c r="Z29" s="1815">
        <f t="shared" si="12"/>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3"/>
      <c r="Q30" s="1811">
        <f t="shared" si="8"/>
        <v>111</v>
      </c>
      <c r="R30" s="774" t="s">
        <v>17</v>
      </c>
      <c r="S30" s="775">
        <f t="shared" si="9"/>
        <v>100</v>
      </c>
      <c r="T30" s="774" t="s">
        <v>17</v>
      </c>
      <c r="U30" s="775">
        <f t="shared" si="10"/>
        <v>100</v>
      </c>
      <c r="V30" s="774" t="s">
        <v>17</v>
      </c>
      <c r="W30" s="775">
        <f t="shared" si="11"/>
        <v>100</v>
      </c>
      <c r="X30" s="1814"/>
      <c r="Y30" s="3216"/>
      <c r="Z30" s="1815">
        <f t="shared" si="12"/>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3"/>
      <c r="Q31" s="1811">
        <f t="shared" si="8"/>
        <v>111</v>
      </c>
      <c r="R31" s="774" t="s">
        <v>17</v>
      </c>
      <c r="S31" s="775">
        <f t="shared" si="9"/>
        <v>100</v>
      </c>
      <c r="T31" s="774" t="s">
        <v>17</v>
      </c>
      <c r="U31" s="775">
        <f t="shared" si="10"/>
        <v>100</v>
      </c>
      <c r="V31" s="774" t="s">
        <v>17</v>
      </c>
      <c r="W31" s="775">
        <f t="shared" si="11"/>
        <v>100</v>
      </c>
      <c r="X31" s="1814"/>
      <c r="Y31" s="3216"/>
      <c r="Z31" s="1815">
        <f t="shared" si="12"/>
        <v>111</v>
      </c>
      <c r="AA31" s="1812">
        <f t="shared" si="3"/>
        <v>1</v>
      </c>
      <c r="AB31" s="1812">
        <f t="shared" si="4"/>
        <v>1</v>
      </c>
      <c r="AC31" s="1812">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1"/>
      <c r="M32" s="1132"/>
      <c r="N32" s="1132"/>
      <c r="O32" s="1132"/>
      <c r="P32" s="3217" t="s">
        <v>2563</v>
      </c>
      <c r="Q32" s="1811" t="str">
        <f t="shared" si="8"/>
        <v>商业类型</v>
      </c>
      <c r="R32" s="774" t="s">
        <v>17</v>
      </c>
      <c r="S32" s="775">
        <f t="shared" si="9"/>
        <v>100</v>
      </c>
      <c r="T32" s="774" t="s">
        <v>17</v>
      </c>
      <c r="U32" s="775">
        <f t="shared" si="10"/>
        <v>100</v>
      </c>
      <c r="V32" s="774" t="s">
        <v>17</v>
      </c>
      <c r="W32" s="775">
        <f t="shared" si="11"/>
        <v>100</v>
      </c>
      <c r="X32" s="1814"/>
      <c r="Y32" s="3220" t="s">
        <v>2563</v>
      </c>
      <c r="Z32" s="1815" t="str">
        <f t="shared" si="12"/>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18"/>
      <c r="Q33" s="776" t="str">
        <f t="shared" si="8"/>
        <v>项目建筑规模</v>
      </c>
      <c r="R33" s="777" t="s">
        <v>17</v>
      </c>
      <c r="S33" s="778" t="e">
        <f t="shared" si="9"/>
        <v>#N/A</v>
      </c>
      <c r="T33" s="777" t="s">
        <v>17</v>
      </c>
      <c r="U33" s="778" t="e">
        <f t="shared" si="10"/>
        <v>#N/A</v>
      </c>
      <c r="V33" s="777" t="s">
        <v>17</v>
      </c>
      <c r="W33" s="778" t="e">
        <f t="shared" si="11"/>
        <v>#N/A</v>
      </c>
      <c r="X33" s="779"/>
      <c r="Y33" s="3220"/>
      <c r="Z33" s="780" t="str">
        <f t="shared" si="12"/>
        <v>项目建筑规模</v>
      </c>
      <c r="AA33" s="1812" t="e">
        <f t="shared" si="3"/>
        <v>#N/A</v>
      </c>
      <c r="AB33" s="1812" t="e">
        <f t="shared" si="4"/>
        <v>#N/A</v>
      </c>
      <c r="AC33" s="1812"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1"/>
      <c r="M34" s="1132"/>
      <c r="N34" s="1132"/>
      <c r="O34" s="1132"/>
      <c r="P34" s="3218"/>
      <c r="Q34" s="1811" t="str">
        <f t="shared" si="8"/>
        <v>建筑结构</v>
      </c>
      <c r="R34" s="774" t="s">
        <v>17</v>
      </c>
      <c r="S34" s="775">
        <f t="shared" si="9"/>
        <v>100</v>
      </c>
      <c r="T34" s="774" t="s">
        <v>17</v>
      </c>
      <c r="U34" s="775">
        <f t="shared" si="10"/>
        <v>100</v>
      </c>
      <c r="V34" s="774" t="s">
        <v>17</v>
      </c>
      <c r="W34" s="775">
        <f t="shared" si="11"/>
        <v>100</v>
      </c>
      <c r="X34" s="1814"/>
      <c r="Y34" s="3220"/>
      <c r="Z34" s="1815" t="str">
        <f t="shared" si="12"/>
        <v>建筑结构</v>
      </c>
      <c r="AA34" s="1812">
        <f t="shared" si="3"/>
        <v>1</v>
      </c>
      <c r="AB34" s="1812">
        <f t="shared" si="4"/>
        <v>1</v>
      </c>
      <c r="AC34" s="1812">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1"/>
      <c r="M35" s="1132"/>
      <c r="N35" s="1132"/>
      <c r="O35" s="1132"/>
      <c r="P35" s="3218"/>
      <c r="Q35" s="1811" t="str">
        <f t="shared" si="8"/>
        <v>公共部分装修</v>
      </c>
      <c r="R35" s="774" t="s">
        <v>17</v>
      </c>
      <c r="S35" s="775">
        <f t="shared" si="9"/>
        <v>100</v>
      </c>
      <c r="T35" s="774" t="s">
        <v>17</v>
      </c>
      <c r="U35" s="775">
        <f t="shared" si="10"/>
        <v>100</v>
      </c>
      <c r="V35" s="774" t="s">
        <v>17</v>
      </c>
      <c r="W35" s="775">
        <f t="shared" si="11"/>
        <v>100</v>
      </c>
      <c r="X35" s="1814"/>
      <c r="Y35" s="3220"/>
      <c r="Z35" s="1815" t="str">
        <f t="shared" si="12"/>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18"/>
      <c r="Q36" s="1811" t="str">
        <f t="shared" si="8"/>
        <v>成新度</v>
      </c>
      <c r="R36" s="774" t="s">
        <v>17</v>
      </c>
      <c r="S36" s="775" t="e">
        <f t="shared" si="9"/>
        <v>#N/A</v>
      </c>
      <c r="T36" s="774" t="s">
        <v>17</v>
      </c>
      <c r="U36" s="775" t="e">
        <f t="shared" si="10"/>
        <v>#N/A</v>
      </c>
      <c r="V36" s="774" t="s">
        <v>17</v>
      </c>
      <c r="W36" s="775" t="e">
        <f t="shared" si="11"/>
        <v>#N/A</v>
      </c>
      <c r="X36" s="1814"/>
      <c r="Y36" s="3220"/>
      <c r="Z36" s="1815" t="str">
        <f t="shared" si="12"/>
        <v>成新度</v>
      </c>
      <c r="AA36" s="1812" t="e">
        <f t="shared" si="3"/>
        <v>#N/A</v>
      </c>
      <c r="AB36" s="1812" t="e">
        <f t="shared" si="4"/>
        <v>#N/A</v>
      </c>
      <c r="AC36" s="1812"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3"/>
      <c r="M37" s="1134"/>
      <c r="N37" s="1134"/>
      <c r="O37" s="1134"/>
      <c r="P37" s="3218"/>
      <c r="Q37" s="1796" t="str">
        <f t="shared" si="8"/>
        <v>市政基础设施</v>
      </c>
      <c r="R37" s="770" t="s">
        <v>17</v>
      </c>
      <c r="S37" s="771">
        <f t="shared" si="9"/>
        <v>100</v>
      </c>
      <c r="T37" s="770" t="s">
        <v>17</v>
      </c>
      <c r="U37" s="771">
        <f t="shared" si="10"/>
        <v>100</v>
      </c>
      <c r="V37" s="770" t="s">
        <v>17</v>
      </c>
      <c r="W37" s="771">
        <f t="shared" si="11"/>
        <v>100</v>
      </c>
      <c r="X37" s="772"/>
      <c r="Y37" s="3220"/>
      <c r="Z37" s="55" t="str">
        <f t="shared" si="12"/>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1"/>
      <c r="M38" s="1132"/>
      <c r="N38" s="1132"/>
      <c r="O38" s="1132"/>
      <c r="P38" s="3218" t="s">
        <v>2563</v>
      </c>
      <c r="Q38" s="1811" t="str">
        <f t="shared" si="8"/>
        <v>业态</v>
      </c>
      <c r="R38" s="774" t="s">
        <v>17</v>
      </c>
      <c r="S38" s="775">
        <f t="shared" si="9"/>
        <v>100</v>
      </c>
      <c r="T38" s="774" t="s">
        <v>17</v>
      </c>
      <c r="U38" s="775">
        <f t="shared" si="10"/>
        <v>100</v>
      </c>
      <c r="V38" s="774" t="s">
        <v>17</v>
      </c>
      <c r="W38" s="775">
        <f t="shared" si="11"/>
        <v>100</v>
      </c>
      <c r="X38" s="1814"/>
      <c r="Y38" s="3220" t="s">
        <v>2563</v>
      </c>
      <c r="Z38" s="1815" t="str">
        <f t="shared" si="12"/>
        <v>业态</v>
      </c>
      <c r="AA38" s="1812">
        <f t="shared" si="3"/>
        <v>1</v>
      </c>
      <c r="AB38" s="1812">
        <f t="shared" si="4"/>
        <v>1</v>
      </c>
      <c r="AC38" s="1812">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1"/>
      <c r="M39" s="1132"/>
      <c r="N39" s="1132"/>
      <c r="O39" s="1132"/>
      <c r="P39" s="3218"/>
      <c r="Q39" s="1811" t="str">
        <f t="shared" si="8"/>
        <v>层高</v>
      </c>
      <c r="R39" s="774" t="s">
        <v>17</v>
      </c>
      <c r="S39" s="775">
        <f t="shared" si="9"/>
        <v>100</v>
      </c>
      <c r="T39" s="774" t="s">
        <v>17</v>
      </c>
      <c r="U39" s="775">
        <f t="shared" si="10"/>
        <v>100</v>
      </c>
      <c r="V39" s="774" t="s">
        <v>17</v>
      </c>
      <c r="W39" s="775">
        <f t="shared" si="11"/>
        <v>100</v>
      </c>
      <c r="X39" s="1814"/>
      <c r="Y39" s="3220"/>
      <c r="Z39" s="1815" t="str">
        <f t="shared" si="12"/>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8"/>
      <c r="Q40" s="1811" t="str">
        <f t="shared" si="8"/>
        <v>单套建筑面积</v>
      </c>
      <c r="R40" s="774" t="s">
        <v>17</v>
      </c>
      <c r="S40" s="775">
        <f t="shared" si="9"/>
        <v>100</v>
      </c>
      <c r="T40" s="774" t="s">
        <v>17</v>
      </c>
      <c r="U40" s="775">
        <f t="shared" si="10"/>
        <v>100</v>
      </c>
      <c r="V40" s="774" t="s">
        <v>17</v>
      </c>
      <c r="W40" s="775">
        <f t="shared" si="11"/>
        <v>100</v>
      </c>
      <c r="X40" s="1814"/>
      <c r="Y40" s="3220"/>
      <c r="Z40" s="1815" t="str">
        <f t="shared" si="12"/>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8"/>
      <c r="Q41" s="776" t="str">
        <f t="shared" si="8"/>
        <v>进深比</v>
      </c>
      <c r="R41" s="777" t="s">
        <v>17</v>
      </c>
      <c r="S41" s="778">
        <f t="shared" si="9"/>
        <v>100</v>
      </c>
      <c r="T41" s="777" t="s">
        <v>17</v>
      </c>
      <c r="U41" s="778">
        <f t="shared" si="10"/>
        <v>100</v>
      </c>
      <c r="V41" s="777" t="s">
        <v>17</v>
      </c>
      <c r="W41" s="778">
        <f t="shared" si="11"/>
        <v>100</v>
      </c>
      <c r="X41" s="779"/>
      <c r="Y41" s="3220"/>
      <c r="Z41" s="780" t="str">
        <f t="shared" si="12"/>
        <v>进深比</v>
      </c>
      <c r="AA41" s="1812">
        <f t="shared" si="3"/>
        <v>1</v>
      </c>
      <c r="AB41" s="1812">
        <f t="shared" si="4"/>
        <v>1</v>
      </c>
      <c r="AC41" s="1812">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1"/>
      <c r="M42" s="1132"/>
      <c r="N42" s="1132"/>
      <c r="O42" s="1132"/>
      <c r="P42" s="3218"/>
      <c r="Q42" s="1811" t="str">
        <f t="shared" si="8"/>
        <v>内部装修</v>
      </c>
      <c r="R42" s="774" t="s">
        <v>17</v>
      </c>
      <c r="S42" s="775">
        <f t="shared" si="9"/>
        <v>100</v>
      </c>
      <c r="T42" s="774" t="s">
        <v>17</v>
      </c>
      <c r="U42" s="775">
        <f t="shared" si="10"/>
        <v>100</v>
      </c>
      <c r="V42" s="774" t="s">
        <v>17</v>
      </c>
      <c r="W42" s="775">
        <f t="shared" si="11"/>
        <v>100</v>
      </c>
      <c r="X42" s="1814"/>
      <c r="Y42" s="3220"/>
      <c r="Z42" s="1815" t="str">
        <f t="shared" si="12"/>
        <v>内部装修</v>
      </c>
      <c r="AA42" s="1812">
        <f t="shared" si="3"/>
        <v>1</v>
      </c>
      <c r="AB42" s="1812">
        <f t="shared" si="4"/>
        <v>1</v>
      </c>
      <c r="AC42" s="1812">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1"/>
      <c r="M43" s="1132"/>
      <c r="N43" s="1132"/>
      <c r="O43" s="1132"/>
      <c r="P43" s="3218"/>
      <c r="Q43" s="1811" t="str">
        <f t="shared" si="8"/>
        <v>内部装修维护情况</v>
      </c>
      <c r="R43" s="774" t="s">
        <v>17</v>
      </c>
      <c r="S43" s="775">
        <f t="shared" si="9"/>
        <v>100</v>
      </c>
      <c r="T43" s="774" t="s">
        <v>17</v>
      </c>
      <c r="U43" s="775">
        <f t="shared" si="10"/>
        <v>100</v>
      </c>
      <c r="V43" s="774" t="s">
        <v>17</v>
      </c>
      <c r="W43" s="775">
        <f t="shared" si="11"/>
        <v>100</v>
      </c>
      <c r="X43" s="1814"/>
      <c r="Y43" s="3220"/>
      <c r="Z43" s="1815" t="str">
        <f t="shared" si="12"/>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8"/>
      <c r="Q44" s="1796">
        <f t="shared" si="8"/>
        <v>111</v>
      </c>
      <c r="R44" s="770" t="s">
        <v>17</v>
      </c>
      <c r="S44" s="771">
        <f t="shared" si="9"/>
        <v>100</v>
      </c>
      <c r="T44" s="770" t="s">
        <v>17</v>
      </c>
      <c r="U44" s="771">
        <f t="shared" si="10"/>
        <v>100</v>
      </c>
      <c r="V44" s="770" t="s">
        <v>17</v>
      </c>
      <c r="W44" s="771">
        <f t="shared" si="11"/>
        <v>100</v>
      </c>
      <c r="X44" s="772"/>
      <c r="Y44" s="3220"/>
      <c r="Z44" s="55">
        <f t="shared" si="12"/>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8"/>
      <c r="Q45" s="1811">
        <f t="shared" si="8"/>
        <v>111</v>
      </c>
      <c r="R45" s="774" t="s">
        <v>17</v>
      </c>
      <c r="S45" s="775">
        <f t="shared" si="9"/>
        <v>100</v>
      </c>
      <c r="T45" s="774" t="s">
        <v>17</v>
      </c>
      <c r="U45" s="775">
        <f t="shared" si="10"/>
        <v>100</v>
      </c>
      <c r="V45" s="774" t="s">
        <v>17</v>
      </c>
      <c r="W45" s="775">
        <f t="shared" si="11"/>
        <v>100</v>
      </c>
      <c r="X45" s="1814"/>
      <c r="Y45" s="3220"/>
      <c r="Z45" s="1815">
        <f t="shared" si="12"/>
        <v>111</v>
      </c>
      <c r="AA45" s="1812">
        <f t="shared" si="3"/>
        <v>1</v>
      </c>
      <c r="AB45" s="1812">
        <f t="shared" si="4"/>
        <v>1</v>
      </c>
      <c r="AC45" s="1812">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9"/>
      <c r="Q46" s="1811">
        <f t="shared" si="8"/>
        <v>111</v>
      </c>
      <c r="R46" s="774" t="s">
        <v>17</v>
      </c>
      <c r="S46" s="775">
        <f t="shared" si="9"/>
        <v>100</v>
      </c>
      <c r="T46" s="774" t="s">
        <v>17</v>
      </c>
      <c r="U46" s="775">
        <f t="shared" si="10"/>
        <v>100</v>
      </c>
      <c r="V46" s="774" t="s">
        <v>17</v>
      </c>
      <c r="W46" s="775">
        <f t="shared" si="11"/>
        <v>100</v>
      </c>
      <c r="X46" s="1814"/>
      <c r="Y46" s="3221"/>
      <c r="Z46" s="1815">
        <f t="shared" si="12"/>
        <v>111</v>
      </c>
      <c r="AA46" s="1812">
        <f t="shared" si="3"/>
        <v>1</v>
      </c>
      <c r="AB46" s="1812">
        <f t="shared" si="4"/>
        <v>1</v>
      </c>
      <c r="AC46" s="1812">
        <f t="shared" si="5"/>
        <v>1</v>
      </c>
    </row>
    <row r="47" spans="1:29" ht="15">
      <c r="A47" s="479" t="s">
        <v>2575</v>
      </c>
      <c r="B47" s="480"/>
      <c r="C47" s="1408" t="s">
        <v>1</v>
      </c>
      <c r="D47" s="1409"/>
      <c r="E47" s="1410"/>
      <c r="F47" s="1411"/>
      <c r="G47" s="1412"/>
      <c r="H47" s="1413"/>
      <c r="I47" s="1410"/>
      <c r="J47" s="1413"/>
      <c r="K47" s="783"/>
      <c r="L47" s="1144"/>
      <c r="M47" s="1145"/>
      <c r="N47" s="1132"/>
      <c r="O47" s="1145"/>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2668</v>
      </c>
      <c r="B49" s="493"/>
      <c r="C49" s="1418" t="e">
        <f>R49</f>
        <v>#DIV/0!</v>
      </c>
      <c r="D49" s="1418"/>
      <c r="E49" s="1418"/>
      <c r="F49" s="1418"/>
      <c r="G49" s="1418"/>
      <c r="H49" s="1418"/>
      <c r="I49" s="1418"/>
      <c r="J49" s="1418"/>
      <c r="K49" s="785"/>
      <c r="L49" s="1144"/>
      <c r="M49" s="1145"/>
      <c r="N49" s="1132"/>
      <c r="O49" s="1145"/>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6"/>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6"/>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2"/>
      <c r="M57" s="1160"/>
      <c r="N57" s="1160"/>
      <c r="O57" s="1160"/>
      <c r="P57" s="2667"/>
      <c r="Q57" s="2668"/>
      <c r="R57" s="759"/>
      <c r="S57" s="759"/>
      <c r="T57" s="759"/>
      <c r="U57" s="759"/>
      <c r="V57" s="759"/>
      <c r="W57" s="759"/>
      <c r="X57" s="759"/>
      <c r="Y57" s="759"/>
      <c r="Z57" s="759"/>
      <c r="AA57" s="759"/>
      <c r="AB57" s="759"/>
      <c r="AC57" s="759"/>
    </row>
    <row r="58" spans="1:29" s="508" customFormat="1" ht="15">
      <c r="A58" s="505" t="s">
        <v>2546</v>
      </c>
      <c r="B58" s="506"/>
      <c r="C58" s="1575" t="str">
        <f>YEAR(C7)&amp;"-"&amp;MONTH(C7)</f>
        <v>2018-12</v>
      </c>
      <c r="D58" s="1576">
        <f>EDATE(C58,-1)</f>
        <v>43405</v>
      </c>
      <c r="E58" s="1576">
        <f t="shared" ref="E58:N58" si="13">EDATE(D58,-1)</f>
        <v>43374</v>
      </c>
      <c r="F58" s="1576">
        <f t="shared" si="13"/>
        <v>43344</v>
      </c>
      <c r="G58" s="1576">
        <f t="shared" si="13"/>
        <v>43313</v>
      </c>
      <c r="H58" s="1576">
        <f t="shared" si="13"/>
        <v>43282</v>
      </c>
      <c r="I58" s="1576">
        <f t="shared" si="13"/>
        <v>43252</v>
      </c>
      <c r="J58" s="1576">
        <f t="shared" si="13"/>
        <v>43221</v>
      </c>
      <c r="K58" s="1576">
        <f t="shared" si="13"/>
        <v>43191</v>
      </c>
      <c r="L58" s="1576">
        <f t="shared" si="13"/>
        <v>43160</v>
      </c>
      <c r="M58" s="1576">
        <f t="shared" si="13"/>
        <v>43132</v>
      </c>
      <c r="N58" s="1576">
        <f t="shared" si="13"/>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2"/>
      <c r="O61" s="1152"/>
      <c r="P61" s="2629"/>
      <c r="Q61" s="504"/>
    </row>
    <row r="62" spans="1:29" s="117" customFormat="1" ht="15.75" thickBot="1">
      <c r="A62" s="521"/>
      <c r="B62" s="510"/>
      <c r="C62" s="511">
        <v>100</v>
      </c>
      <c r="D62" s="512"/>
      <c r="E62" s="512"/>
      <c r="F62" s="512"/>
      <c r="G62" s="512"/>
      <c r="H62" s="512"/>
      <c r="I62" s="512"/>
      <c r="J62" s="512"/>
      <c r="K62" s="512"/>
      <c r="L62" s="512"/>
      <c r="M62" s="514"/>
      <c r="N62" s="1152"/>
      <c r="O62" s="1152"/>
      <c r="P62" s="2628"/>
      <c r="Q62" s="504"/>
    </row>
    <row r="63" spans="1:29">
      <c r="A63" s="527" t="s">
        <v>2586</v>
      </c>
      <c r="B63" s="528" t="s">
        <v>2552</v>
      </c>
      <c r="C63" s="529">
        <f>C9</f>
        <v>0</v>
      </c>
      <c r="D63" s="530"/>
      <c r="E63" s="530"/>
      <c r="F63" s="530"/>
      <c r="G63" s="530"/>
      <c r="H63" s="530"/>
      <c r="I63" s="530"/>
      <c r="J63" s="530"/>
      <c r="K63" s="531"/>
      <c r="L63" s="532"/>
      <c r="M63" s="533"/>
      <c r="N63" s="1153"/>
      <c r="O63" s="1153"/>
      <c r="P63" s="2630"/>
      <c r="Q63" s="504"/>
    </row>
    <row r="64" spans="1:29" ht="15.75" thickBot="1">
      <c r="A64" s="534"/>
      <c r="B64" s="535"/>
      <c r="C64" s="536">
        <v>100</v>
      </c>
      <c r="D64" s="536"/>
      <c r="E64" s="536"/>
      <c r="F64" s="536"/>
      <c r="G64" s="536"/>
      <c r="H64" s="536"/>
      <c r="I64" s="536"/>
      <c r="J64" s="536"/>
      <c r="K64" s="536"/>
      <c r="L64" s="536"/>
      <c r="M64" s="537"/>
      <c r="N64" s="1154"/>
      <c r="O64" s="1154"/>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0"/>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4"/>
      <c r="O67" s="1154"/>
      <c r="P67" s="2630"/>
      <c r="Q67" s="504"/>
    </row>
    <row r="68" spans="1:17" ht="15">
      <c r="A68" s="534"/>
      <c r="B68" s="548"/>
      <c r="C68" s="549"/>
      <c r="D68" s="549"/>
      <c r="E68" s="549"/>
      <c r="F68" s="549"/>
      <c r="G68" s="549"/>
      <c r="H68" s="549"/>
      <c r="I68" s="549"/>
      <c r="J68" s="549"/>
      <c r="K68" s="550"/>
      <c r="L68" s="551"/>
      <c r="M68" s="552"/>
      <c r="N68" s="1153"/>
      <c r="O68" s="1153"/>
      <c r="P68" s="263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4"/>
      <c r="O69" s="1154"/>
      <c r="P69" s="2630"/>
      <c r="Q69" s="504"/>
    </row>
    <row r="70" spans="1:17" s="471" customFormat="1" ht="15.75" thickTop="1">
      <c r="A70" s="553"/>
      <c r="B70" s="538">
        <f>B12</f>
        <v>111</v>
      </c>
      <c r="C70" s="554"/>
      <c r="D70" s="554"/>
      <c r="E70" s="554"/>
      <c r="F70" s="554"/>
      <c r="G70" s="554"/>
      <c r="H70" s="555"/>
      <c r="I70" s="555"/>
      <c r="J70" s="555"/>
      <c r="K70" s="555"/>
      <c r="L70" s="556"/>
      <c r="M70" s="557"/>
      <c r="N70" s="1155"/>
      <c r="O70" s="1155"/>
      <c r="P70" s="2631"/>
      <c r="Q70" s="559"/>
    </row>
    <row r="71" spans="1:17" s="471" customFormat="1" ht="15.75" thickBot="1">
      <c r="A71" s="553"/>
      <c r="B71" s="543"/>
      <c r="C71" s="560"/>
      <c r="D71" s="536"/>
      <c r="E71" s="536"/>
      <c r="F71" s="536"/>
      <c r="G71" s="536"/>
      <c r="H71" s="536"/>
      <c r="I71" s="536"/>
      <c r="J71" s="536"/>
      <c r="K71" s="536"/>
      <c r="L71" s="536"/>
      <c r="M71" s="537"/>
      <c r="N71" s="1154"/>
      <c r="O71" s="1154"/>
      <c r="P71" s="2631"/>
      <c r="Q71" s="559"/>
    </row>
    <row r="72" spans="1:17" s="471" customFormat="1" ht="15.75" thickTop="1">
      <c r="A72" s="553"/>
      <c r="B72" s="538">
        <f>B13</f>
        <v>111</v>
      </c>
      <c r="C72" s="554"/>
      <c r="D72" s="554"/>
      <c r="E72" s="554"/>
      <c r="F72" s="554"/>
      <c r="G72" s="554"/>
      <c r="H72" s="555"/>
      <c r="I72" s="555"/>
      <c r="J72" s="555"/>
      <c r="K72" s="555"/>
      <c r="L72" s="556"/>
      <c r="M72" s="557"/>
      <c r="N72" s="1155"/>
      <c r="O72" s="1155"/>
      <c r="P72" s="2632"/>
      <c r="Q72" s="561"/>
    </row>
    <row r="73" spans="1:17" s="471" customFormat="1" ht="15.75" thickBot="1">
      <c r="A73" s="553"/>
      <c r="B73" s="543"/>
      <c r="C73" s="560"/>
      <c r="D73" s="536"/>
      <c r="E73" s="536"/>
      <c r="F73" s="536"/>
      <c r="G73" s="560"/>
      <c r="H73" s="562"/>
      <c r="I73" s="562"/>
      <c r="J73" s="562"/>
      <c r="K73" s="562"/>
      <c r="L73" s="562"/>
      <c r="M73" s="563"/>
      <c r="N73" s="1155"/>
      <c r="O73" s="1155"/>
      <c r="P73" s="2631"/>
      <c r="Q73" s="559"/>
    </row>
    <row r="74" spans="1:17" s="471" customFormat="1" ht="15.75" thickTop="1">
      <c r="A74" s="553"/>
      <c r="B74" s="546">
        <f>B14</f>
        <v>111</v>
      </c>
      <c r="C74" s="554"/>
      <c r="D74" s="554"/>
      <c r="E74" s="554"/>
      <c r="F74" s="554"/>
      <c r="G74" s="523"/>
      <c r="H74" s="564"/>
      <c r="I74" s="564"/>
      <c r="J74" s="564"/>
      <c r="K74" s="564"/>
      <c r="L74" s="565"/>
      <c r="M74" s="566"/>
      <c r="N74" s="1155"/>
      <c r="O74" s="1155"/>
      <c r="P74" s="2633"/>
      <c r="Q74" s="559"/>
    </row>
    <row r="75" spans="1:17" s="471" customFormat="1" ht="15.75" thickBot="1">
      <c r="A75" s="568"/>
      <c r="B75" s="569"/>
      <c r="C75" s="570"/>
      <c r="D75" s="570"/>
      <c r="E75" s="570"/>
      <c r="F75" s="570"/>
      <c r="G75" s="570"/>
      <c r="H75" s="571"/>
      <c r="I75" s="571"/>
      <c r="J75" s="571"/>
      <c r="K75" s="571"/>
      <c r="L75" s="571"/>
      <c r="M75" s="572"/>
      <c r="N75" s="1155"/>
      <c r="O75" s="1155"/>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3"/>
      <c r="N82" s="1154"/>
      <c r="O82" s="1154"/>
      <c r="P82" s="263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4"/>
      <c r="O83" s="1154"/>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75" thickTop="1">
      <c r="A86" s="579"/>
      <c r="B86" s="538" t="s">
        <v>2678</v>
      </c>
      <c r="C86" s="554"/>
      <c r="D86" s="554"/>
      <c r="E86" s="554"/>
      <c r="F86" s="554"/>
      <c r="G86" s="554"/>
      <c r="H86" s="554"/>
      <c r="I86" s="554"/>
      <c r="J86" s="554"/>
      <c r="K86" s="554"/>
      <c r="L86" s="580"/>
      <c r="M86" s="581"/>
      <c r="N86" s="1152"/>
      <c r="O86" s="1152"/>
      <c r="P86" s="263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2"/>
      <c r="O88" s="1152"/>
      <c r="P88" s="2630"/>
      <c r="Q88" s="504"/>
    </row>
    <row r="89" spans="1:17" s="117" customFormat="1" ht="15.75" thickBot="1">
      <c r="A89" s="579"/>
      <c r="B89" s="543"/>
      <c r="C89" s="560"/>
      <c r="D89" s="536"/>
      <c r="E89" s="536"/>
      <c r="F89" s="536"/>
      <c r="G89" s="536"/>
      <c r="H89" s="536"/>
      <c r="I89" s="536"/>
      <c r="J89" s="536"/>
      <c r="K89" s="536"/>
      <c r="L89" s="536"/>
      <c r="M89" s="536"/>
      <c r="N89" s="1154"/>
      <c r="O89" s="1154"/>
      <c r="P89" s="2630"/>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5"/>
      <c r="O91" s="1155"/>
      <c r="P91" s="2631"/>
      <c r="Q91" s="559"/>
    </row>
    <row r="92" spans="1:17" ht="15.75" thickTop="1">
      <c r="A92" s="534"/>
      <c r="B92" s="538" t="str">
        <f>B28</f>
        <v>楼层</v>
      </c>
      <c r="C92" s="554"/>
      <c r="D92" s="554"/>
      <c r="E92" s="554"/>
      <c r="F92" s="554"/>
      <c r="G92" s="554"/>
      <c r="H92" s="554"/>
      <c r="I92" s="554"/>
      <c r="J92" s="554"/>
      <c r="K92" s="554"/>
      <c r="L92" s="580"/>
      <c r="M92" s="581"/>
      <c r="N92" s="1153"/>
      <c r="O92" s="1153"/>
      <c r="P92" s="2630"/>
      <c r="Q92" s="504"/>
    </row>
    <row r="93" spans="1:17" ht="15.75" thickBot="1">
      <c r="A93" s="534"/>
      <c r="B93" s="543"/>
      <c r="C93" s="536"/>
      <c r="D93" s="536"/>
      <c r="E93" s="536"/>
      <c r="F93" s="536"/>
      <c r="G93" s="536"/>
      <c r="H93" s="536"/>
      <c r="I93" s="536"/>
      <c r="J93" s="536"/>
      <c r="K93" s="536"/>
      <c r="L93" s="536"/>
      <c r="M93" s="537"/>
      <c r="N93" s="1154"/>
      <c r="O93" s="1154"/>
      <c r="P93" s="2630"/>
      <c r="Q93" s="504"/>
    </row>
    <row r="94" spans="1:17" ht="15.75" thickTop="1">
      <c r="A94" s="534"/>
      <c r="B94" s="538">
        <f>B29</f>
        <v>111</v>
      </c>
      <c r="C94" s="554"/>
      <c r="D94" s="554"/>
      <c r="E94" s="554"/>
      <c r="F94" s="554"/>
      <c r="G94" s="583"/>
      <c r="H94" s="583"/>
      <c r="I94" s="583"/>
      <c r="J94" s="583"/>
      <c r="K94" s="584"/>
      <c r="L94" s="585"/>
      <c r="M94" s="586"/>
      <c r="N94" s="1153"/>
      <c r="O94" s="1153"/>
      <c r="P94" s="2630"/>
      <c r="Q94" s="504"/>
    </row>
    <row r="95" spans="1:17" ht="15.75" thickBot="1">
      <c r="A95" s="534"/>
      <c r="B95" s="543"/>
      <c r="C95" s="560"/>
      <c r="D95" s="536"/>
      <c r="E95" s="536"/>
      <c r="F95" s="536"/>
      <c r="G95" s="536"/>
      <c r="H95" s="536"/>
      <c r="I95" s="536"/>
      <c r="J95" s="536"/>
      <c r="K95" s="536"/>
      <c r="L95" s="536"/>
      <c r="M95" s="537"/>
      <c r="N95" s="1154"/>
      <c r="O95" s="1154"/>
      <c r="P95" s="2630"/>
      <c r="Q95" s="504"/>
    </row>
    <row r="96" spans="1:17" ht="15.75" thickTop="1">
      <c r="A96" s="534"/>
      <c r="B96" s="538">
        <f>B30</f>
        <v>111</v>
      </c>
      <c r="C96" s="554"/>
      <c r="D96" s="554"/>
      <c r="E96" s="554"/>
      <c r="F96" s="554"/>
      <c r="G96" s="583"/>
      <c r="H96" s="583"/>
      <c r="I96" s="583"/>
      <c r="J96" s="583"/>
      <c r="K96" s="584"/>
      <c r="L96" s="585"/>
      <c r="M96" s="586"/>
      <c r="N96" s="1153"/>
      <c r="O96" s="1153"/>
      <c r="P96" s="2630"/>
      <c r="Q96" s="504"/>
    </row>
    <row r="97" spans="1:17" ht="15.75" thickBot="1">
      <c r="A97" s="534"/>
      <c r="B97" s="543"/>
      <c r="C97" s="560"/>
      <c r="D97" s="536"/>
      <c r="E97" s="536"/>
      <c r="F97" s="536"/>
      <c r="G97" s="536"/>
      <c r="H97" s="536"/>
      <c r="I97" s="536"/>
      <c r="J97" s="536"/>
      <c r="K97" s="536"/>
      <c r="L97" s="536"/>
      <c r="M97" s="537"/>
      <c r="N97" s="1154"/>
      <c r="O97" s="1154"/>
      <c r="P97" s="2630"/>
      <c r="Q97" s="504"/>
    </row>
    <row r="98" spans="1:17" ht="15.75" thickTop="1">
      <c r="A98" s="534"/>
      <c r="B98" s="546">
        <f>B31</f>
        <v>111</v>
      </c>
      <c r="C98" s="554"/>
      <c r="D98" s="554"/>
      <c r="E98" s="554"/>
      <c r="F98" s="554"/>
      <c r="G98" s="587"/>
      <c r="H98" s="587"/>
      <c r="I98" s="587"/>
      <c r="J98" s="587"/>
      <c r="K98" s="588"/>
      <c r="L98" s="589"/>
      <c r="M98" s="590"/>
      <c r="N98" s="1153"/>
      <c r="O98" s="1153"/>
      <c r="P98" s="2630"/>
      <c r="Q98" s="504"/>
    </row>
    <row r="99" spans="1:17" ht="15.75" thickBot="1">
      <c r="A99" s="2636"/>
      <c r="B99" s="569"/>
      <c r="C99" s="570"/>
      <c r="D99" s="570"/>
      <c r="E99" s="570"/>
      <c r="F99" s="570"/>
      <c r="G99" s="591"/>
      <c r="H99" s="591"/>
      <c r="I99" s="591"/>
      <c r="J99" s="591"/>
      <c r="K99" s="591"/>
      <c r="L99" s="591"/>
      <c r="M99" s="592"/>
      <c r="N99" s="1154"/>
      <c r="O99" s="1154"/>
      <c r="P99" s="2630"/>
      <c r="Q99" s="504"/>
    </row>
    <row r="100" spans="1:17">
      <c r="A100" s="527" t="s">
        <v>2561</v>
      </c>
      <c r="B100" s="528" t="s">
        <v>2679</v>
      </c>
      <c r="C100" s="530"/>
      <c r="D100" s="530"/>
      <c r="E100" s="530"/>
      <c r="F100" s="530"/>
      <c r="G100" s="530"/>
      <c r="H100" s="530"/>
      <c r="I100" s="530"/>
      <c r="J100" s="530"/>
      <c r="K100" s="531"/>
      <c r="L100" s="532"/>
      <c r="M100" s="533"/>
      <c r="N100" s="1153"/>
      <c r="O100" s="1153"/>
      <c r="P100" s="263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4"/>
      <c r="O101" s="1154"/>
      <c r="P101" s="2630"/>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4"/>
      <c r="O106" s="1154"/>
      <c r="P106" s="2630"/>
      <c r="Q106" s="504"/>
    </row>
    <row r="107" spans="1:17" ht="15" thickTop="1">
      <c r="A107" s="599"/>
      <c r="B107" s="538" t="s">
        <v>2614</v>
      </c>
      <c r="C107" s="554"/>
      <c r="D107" s="554"/>
      <c r="E107" s="554"/>
      <c r="F107" s="583"/>
      <c r="G107" s="583"/>
      <c r="H107" s="583"/>
      <c r="I107" s="583"/>
      <c r="J107" s="583"/>
      <c r="K107" s="584"/>
      <c r="L107" s="585"/>
      <c r="M107" s="586"/>
      <c r="N107" s="1153"/>
      <c r="O107" s="1153"/>
      <c r="P107" s="263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4"/>
      <c r="O108" s="1154"/>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0"/>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4"/>
      <c r="O111" s="1154"/>
      <c r="P111" s="2630"/>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5"/>
      <c r="O113" s="1155"/>
      <c r="P113" s="2631"/>
      <c r="Q113" s="559"/>
    </row>
    <row r="114" spans="1:17" ht="15" thickTop="1">
      <c r="A114" s="599"/>
      <c r="B114" s="538" t="s">
        <v>2680</v>
      </c>
      <c r="C114" s="554"/>
      <c r="D114" s="554"/>
      <c r="E114" s="583"/>
      <c r="F114" s="583"/>
      <c r="G114" s="583"/>
      <c r="H114" s="583"/>
      <c r="I114" s="583"/>
      <c r="J114" s="583"/>
      <c r="K114" s="584"/>
      <c r="L114" s="585"/>
      <c r="M114" s="586"/>
      <c r="N114" s="1153"/>
      <c r="O114" s="1153"/>
      <c r="P114" s="263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4"/>
      <c r="O115" s="1154"/>
      <c r="P115" s="2630"/>
      <c r="Q115" s="504"/>
    </row>
    <row r="116" spans="1:17" ht="15" thickTop="1">
      <c r="A116" s="599"/>
      <c r="B116" s="538" t="s">
        <v>2681</v>
      </c>
      <c r="C116" s="554"/>
      <c r="D116" s="554"/>
      <c r="E116" s="554"/>
      <c r="F116" s="554"/>
      <c r="G116" s="554"/>
      <c r="H116" s="583"/>
      <c r="I116" s="583"/>
      <c r="J116" s="583"/>
      <c r="K116" s="584"/>
      <c r="L116" s="585"/>
      <c r="M116" s="586"/>
      <c r="N116" s="1153"/>
      <c r="O116" s="1153"/>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2682</v>
      </c>
      <c r="C118" s="627"/>
      <c r="D118" s="627"/>
      <c r="E118" s="627"/>
      <c r="F118" s="627"/>
      <c r="G118" s="627"/>
      <c r="H118" s="555"/>
      <c r="I118" s="555"/>
      <c r="J118" s="555"/>
      <c r="K118" s="555"/>
      <c r="L118" s="556"/>
      <c r="M118" s="557"/>
      <c r="N118" s="1153"/>
      <c r="O118" s="1153"/>
      <c r="P118" s="2630"/>
      <c r="Q118" s="504"/>
    </row>
    <row r="119" spans="1:17" ht="15.75" thickBot="1">
      <c r="A119" s="534"/>
      <c r="B119" s="543"/>
      <c r="C119" s="560"/>
      <c r="D119" s="536"/>
      <c r="E119" s="536"/>
      <c r="F119" s="536"/>
      <c r="G119" s="536"/>
      <c r="H119" s="536"/>
      <c r="I119" s="536"/>
      <c r="J119" s="536"/>
      <c r="K119" s="536"/>
      <c r="L119" s="536"/>
      <c r="M119" s="537"/>
      <c r="N119" s="1154"/>
      <c r="O119" s="1154"/>
      <c r="P119" s="2630"/>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4"/>
      <c r="O123" s="1154"/>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1"/>
      <c r="Q127" s="559"/>
    </row>
    <row r="128" spans="1:17" ht="15" thickTop="1">
      <c r="A128" s="599"/>
      <c r="B128" s="538">
        <f>B45</f>
        <v>111</v>
      </c>
      <c r="C128" s="554"/>
      <c r="D128" s="554"/>
      <c r="E128" s="554"/>
      <c r="F128" s="554"/>
      <c r="G128" s="583"/>
      <c r="H128" s="583"/>
      <c r="I128" s="583"/>
      <c r="J128" s="583"/>
      <c r="K128" s="584"/>
      <c r="L128" s="585"/>
      <c r="M128" s="586"/>
      <c r="N128" s="1153"/>
      <c r="O128" s="1153"/>
      <c r="P128" s="2630"/>
      <c r="Q128" s="504"/>
    </row>
    <row r="129" spans="1:17" ht="15.75" thickBot="1">
      <c r="A129" s="534"/>
      <c r="B129" s="543"/>
      <c r="C129" s="560"/>
      <c r="D129" s="536"/>
      <c r="E129" s="536"/>
      <c r="F129" s="536"/>
      <c r="G129" s="536"/>
      <c r="H129" s="536"/>
      <c r="I129" s="536"/>
      <c r="J129" s="536"/>
      <c r="K129" s="536"/>
      <c r="L129" s="536"/>
      <c r="M129" s="537"/>
      <c r="N129" s="1154"/>
      <c r="O129" s="1154"/>
      <c r="P129" s="2630"/>
      <c r="Q129" s="504"/>
    </row>
    <row r="130" spans="1:17" ht="15" thickTop="1">
      <c r="A130" s="599"/>
      <c r="B130" s="546">
        <f>B46</f>
        <v>111</v>
      </c>
      <c r="C130" s="554"/>
      <c r="D130" s="554"/>
      <c r="E130" s="554"/>
      <c r="F130" s="554"/>
      <c r="G130" s="587"/>
      <c r="H130" s="587"/>
      <c r="I130" s="587"/>
      <c r="J130" s="587"/>
      <c r="K130" s="523"/>
      <c r="L130" s="524"/>
      <c r="M130" s="590"/>
      <c r="N130" s="1153"/>
      <c r="O130" s="1153"/>
      <c r="P130" s="2630"/>
      <c r="Q130" s="504"/>
    </row>
    <row r="131" spans="1:17" ht="15.75" thickBot="1">
      <c r="A131" s="2636"/>
      <c r="B131" s="569"/>
      <c r="C131" s="570"/>
      <c r="D131" s="570"/>
      <c r="E131" s="570"/>
      <c r="F131" s="570"/>
      <c r="G131" s="591"/>
      <c r="H131" s="591"/>
      <c r="I131" s="591"/>
      <c r="J131" s="591"/>
      <c r="K131" s="591"/>
      <c r="L131" s="591"/>
      <c r="M131" s="592"/>
      <c r="N131" s="1154"/>
      <c r="O131" s="1154"/>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5" priority="17" stopIfTrue="1" operator="containsText" text="超过">
      <formula>NOT(ISERROR(SEARCH("超过",F52)))</formula>
    </cfRule>
  </conditionalFormatting>
  <conditionalFormatting sqref="H54">
    <cfRule type="containsText" dxfId="114" priority="15" stopIfTrue="1" operator="containsText" text="超过">
      <formula>NOT(ISERROR(SEARCH("超过",H54)))</formula>
    </cfRule>
  </conditionalFormatting>
  <conditionalFormatting sqref="F54">
    <cfRule type="containsText" dxfId="113" priority="14" stopIfTrue="1" operator="containsText" text="超过">
      <formula>NOT(ISERROR(SEARCH("超过",F54)))</formula>
    </cfRule>
  </conditionalFormatting>
  <conditionalFormatting sqref="F53 H53">
    <cfRule type="containsText" dxfId="112" priority="13" stopIfTrue="1" operator="containsText" text="超过">
      <formula>NOT(ISERROR(SEARCH("超过",F53)))</formula>
    </cfRule>
  </conditionalFormatting>
  <conditionalFormatting sqref="E52">
    <cfRule type="expression" dxfId="111" priority="12"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4">
    <cfRule type="expression" dxfId="108" priority="9" stopIfTrue="1">
      <formula>$H$54="超过30%"</formula>
    </cfRule>
  </conditionalFormatting>
  <conditionalFormatting sqref="G52">
    <cfRule type="expression" dxfId="107" priority="8" stopIfTrue="1">
      <formula>$H$52="超过30%"</formula>
    </cfRule>
  </conditionalFormatting>
  <conditionalFormatting sqref="G53">
    <cfRule type="expression" dxfId="106" priority="7" stopIfTrue="1">
      <formula>$H$53="超过20%"</formula>
    </cfRule>
  </conditionalFormatting>
  <conditionalFormatting sqref="J52">
    <cfRule type="containsText" dxfId="105" priority="6" stopIfTrue="1" operator="containsText" text="超过">
      <formula>NOT(ISERROR(SEARCH("超过",J52)))</formula>
    </cfRule>
  </conditionalFormatting>
  <conditionalFormatting sqref="J54">
    <cfRule type="containsText" dxfId="104" priority="5" stopIfTrue="1" operator="containsText" text="超过">
      <formula>NOT(ISERROR(SEARCH("超过",J54)))</formula>
    </cfRule>
  </conditionalFormatting>
  <conditionalFormatting sqref="J53">
    <cfRule type="containsText" dxfId="103" priority="4" stopIfTrue="1" operator="containsText" text="超过">
      <formula>NOT(ISERROR(SEARCH("超过",J53)))</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9" t="s">
        <v>2684</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IF(C2="——",ROUND(C50*D3/10000,0),ROUND(C50*D3/10000,0)-D2)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30" t="s">
        <v>2649</v>
      </c>
      <c r="Q4" s="3231"/>
      <c r="R4" s="3225" t="s">
        <v>2645</v>
      </c>
      <c r="S4" s="3226"/>
      <c r="T4" s="3225" t="s">
        <v>2646</v>
      </c>
      <c r="U4" s="3226"/>
      <c r="V4" s="3234" t="s">
        <v>2647</v>
      </c>
      <c r="W4" s="3234"/>
      <c r="X4" s="2670"/>
      <c r="Y4" s="3225" t="s">
        <v>2649</v>
      </c>
      <c r="Z4" s="3226"/>
      <c r="AA4" s="3224" t="s">
        <v>2645</v>
      </c>
      <c r="AB4" s="3224" t="s">
        <v>2646</v>
      </c>
      <c r="AC4" s="3227" t="s">
        <v>2647</v>
      </c>
    </row>
    <row r="5" spans="1:29" ht="15">
      <c r="A5" s="404"/>
      <c r="B5" s="405"/>
      <c r="C5" s="3189" t="s">
        <v>2540</v>
      </c>
      <c r="D5" s="3190"/>
      <c r="E5" s="3187" t="s">
        <v>2541</v>
      </c>
      <c r="F5" s="3188"/>
      <c r="G5" s="3189" t="s">
        <v>2542</v>
      </c>
      <c r="H5" s="3190"/>
      <c r="I5" s="3189" t="s">
        <v>2543</v>
      </c>
      <c r="J5" s="3190"/>
      <c r="K5" s="610"/>
      <c r="L5" s="1131"/>
      <c r="M5" s="1132"/>
      <c r="N5" s="1132"/>
      <c r="O5" s="1132"/>
      <c r="P5" s="3232"/>
      <c r="Q5" s="3203"/>
      <c r="R5" s="3185"/>
      <c r="S5" s="3186"/>
      <c r="T5" s="3185"/>
      <c r="U5" s="3186"/>
      <c r="V5" s="3208"/>
      <c r="W5" s="3208"/>
      <c r="X5" s="1814"/>
      <c r="Y5" s="3185"/>
      <c r="Z5" s="3186"/>
      <c r="AA5" s="3179"/>
      <c r="AB5" s="3179"/>
      <c r="AC5" s="3228"/>
    </row>
    <row r="6" spans="1:29" ht="15.75" thickBot="1">
      <c r="A6" s="406"/>
      <c r="B6" s="407"/>
      <c r="C6" s="3191" t="s">
        <v>2544</v>
      </c>
      <c r="D6" s="3192"/>
      <c r="E6" s="3193" t="s">
        <v>2544</v>
      </c>
      <c r="F6" s="3194"/>
      <c r="G6" s="3191" t="s">
        <v>2544</v>
      </c>
      <c r="H6" s="3192"/>
      <c r="I6" s="3191" t="s">
        <v>2544</v>
      </c>
      <c r="J6" s="3192"/>
      <c r="K6" s="610" t="s">
        <v>2545</v>
      </c>
      <c r="L6" s="1131"/>
      <c r="M6" s="1132"/>
      <c r="N6" s="1132"/>
      <c r="O6" s="1132"/>
      <c r="P6" s="3233"/>
      <c r="Q6" s="3205"/>
      <c r="R6" s="3185"/>
      <c r="S6" s="3186"/>
      <c r="T6" s="3206"/>
      <c r="U6" s="3207"/>
      <c r="V6" s="3208"/>
      <c r="W6" s="3208"/>
      <c r="X6" s="1814"/>
      <c r="Y6" s="3206"/>
      <c r="Z6" s="3207"/>
      <c r="AA6" s="3180"/>
      <c r="AB6" s="3180"/>
      <c r="AC6" s="3229"/>
    </row>
    <row r="7" spans="1:29" s="117" customFormat="1" ht="15.75" thickBot="1">
      <c r="A7" s="408" t="s">
        <v>2546</v>
      </c>
      <c r="B7" s="409"/>
      <c r="C7" s="410">
        <f>'数据-取费表'!B2</f>
        <v>43458</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35"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35" t="s">
        <v>2550</v>
      </c>
      <c r="Q8" s="3182"/>
      <c r="R8" s="770" t="s">
        <v>17</v>
      </c>
      <c r="S8" s="771">
        <f t="shared" si="0"/>
        <v>0</v>
      </c>
      <c r="T8" s="770" t="s">
        <v>17</v>
      </c>
      <c r="U8" s="771">
        <f t="shared" si="1"/>
        <v>0</v>
      </c>
      <c r="V8" s="770" t="s">
        <v>17</v>
      </c>
      <c r="W8" s="771">
        <f t="shared" si="2"/>
        <v>0</v>
      </c>
      <c r="X8" s="772"/>
      <c r="Y8" s="3181" t="s">
        <v>2550</v>
      </c>
      <c r="Z8" s="3182"/>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95"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95"/>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95"/>
      <c r="Q11" s="1796"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3"/>
      <c r="M12" s="1134"/>
      <c r="N12" s="1134"/>
      <c r="O12" s="1134"/>
      <c r="P12" s="3195"/>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1"/>
      <c r="M13" s="1132"/>
      <c r="N13" s="1132"/>
      <c r="O13" s="1132"/>
      <c r="P13" s="3195"/>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1"/>
      <c r="M14" s="1132"/>
      <c r="N14" s="1132"/>
      <c r="O14" s="1132"/>
      <c r="P14" s="3195"/>
      <c r="Q14" s="1796">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2557</v>
      </c>
      <c r="B15" s="629" t="s">
        <v>2685</v>
      </c>
      <c r="C15" s="2673" t="str">
        <f>估价对象房地状况!C5</f>
        <v>估价对象位于东直门商圈，周边办公楼项目较多，入驻率高，办公集聚程度较好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22" t="s">
        <v>2558</v>
      </c>
      <c r="Q15" s="1811" t="str">
        <f t="shared" si="6"/>
        <v>办公集聚程度</v>
      </c>
      <c r="R15" s="774" t="s">
        <v>17</v>
      </c>
      <c r="S15" s="775">
        <f t="shared" si="0"/>
        <v>100</v>
      </c>
      <c r="T15" s="774" t="s">
        <v>17</v>
      </c>
      <c r="U15" s="775">
        <f t="shared" si="1"/>
        <v>100</v>
      </c>
      <c r="V15" s="774" t="s">
        <v>17</v>
      </c>
      <c r="W15" s="775">
        <f t="shared" si="2"/>
        <v>100</v>
      </c>
      <c r="X15" s="1814"/>
      <c r="Y15" s="3215" t="s">
        <v>2558</v>
      </c>
      <c r="Z15" s="1815" t="str">
        <f t="shared" si="7"/>
        <v>办公集聚程度</v>
      </c>
      <c r="AA15" s="1812">
        <f t="shared" si="3"/>
        <v>1</v>
      </c>
      <c r="AB15" s="1812">
        <f t="shared" si="4"/>
        <v>1</v>
      </c>
      <c r="AC15" s="2674">
        <f t="shared" si="5"/>
        <v>1</v>
      </c>
    </row>
    <row r="16" spans="1:29" ht="15">
      <c r="A16" s="428"/>
      <c r="B16" s="630"/>
      <c r="C16" s="2611"/>
      <c r="D16" s="448"/>
      <c r="E16" s="447"/>
      <c r="F16" s="448"/>
      <c r="G16" s="2611"/>
      <c r="H16" s="450"/>
      <c r="I16" s="447"/>
      <c r="J16" s="448"/>
      <c r="K16" s="615"/>
      <c r="L16" s="1141"/>
      <c r="M16" s="1132"/>
      <c r="N16" s="1132"/>
      <c r="O16" s="1132"/>
      <c r="P16" s="3223"/>
      <c r="Q16" s="1811"/>
      <c r="R16" s="774"/>
      <c r="S16" s="775"/>
      <c r="T16" s="774"/>
      <c r="U16" s="775"/>
      <c r="V16" s="774"/>
      <c r="W16" s="775"/>
      <c r="X16" s="1814"/>
      <c r="Y16" s="3216"/>
      <c r="Z16" s="1815"/>
      <c r="AA16" s="1812">
        <v>1</v>
      </c>
      <c r="AB16" s="1812">
        <v>1</v>
      </c>
      <c r="AC16" s="2674">
        <v>1</v>
      </c>
    </row>
    <row r="17" spans="1:29" ht="71.25">
      <c r="A17" s="428"/>
      <c r="B17" s="631" t="s">
        <v>2095</v>
      </c>
      <c r="C17" s="2675"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23"/>
      <c r="Q17" s="1811" t="str">
        <f>B17</f>
        <v>交通便捷度</v>
      </c>
      <c r="R17" s="774" t="s">
        <v>17</v>
      </c>
      <c r="S17" s="775">
        <f>F17</f>
        <v>100</v>
      </c>
      <c r="T17" s="774" t="s">
        <v>17</v>
      </c>
      <c r="U17" s="775">
        <f>H17</f>
        <v>100</v>
      </c>
      <c r="V17" s="774" t="s">
        <v>17</v>
      </c>
      <c r="W17" s="775">
        <f>J17</f>
        <v>100</v>
      </c>
      <c r="X17" s="1814"/>
      <c r="Y17" s="3216"/>
      <c r="Z17" s="1815" t="str">
        <f>Q17</f>
        <v>交通便捷度</v>
      </c>
      <c r="AA17" s="1812">
        <f t="shared" si="3"/>
        <v>1</v>
      </c>
      <c r="AB17" s="1812">
        <f t="shared" si="4"/>
        <v>1</v>
      </c>
      <c r="AC17" s="2674">
        <f t="shared" si="5"/>
        <v>1</v>
      </c>
    </row>
    <row r="18" spans="1:29" ht="15">
      <c r="A18" s="428"/>
      <c r="B18" s="632"/>
      <c r="C18" s="2676"/>
      <c r="D18" s="450"/>
      <c r="E18" s="2609"/>
      <c r="F18" s="450"/>
      <c r="G18" s="2610"/>
      <c r="H18" s="448"/>
      <c r="I18" s="2610"/>
      <c r="J18" s="448"/>
      <c r="K18" s="615"/>
      <c r="L18" s="1141"/>
      <c r="M18" s="1132"/>
      <c r="N18" s="1132"/>
      <c r="O18" s="1132"/>
      <c r="P18" s="3223"/>
      <c r="Q18" s="1811"/>
      <c r="R18" s="774"/>
      <c r="S18" s="775"/>
      <c r="T18" s="774"/>
      <c r="U18" s="775"/>
      <c r="V18" s="774"/>
      <c r="W18" s="775"/>
      <c r="X18" s="1814"/>
      <c r="Y18" s="3216"/>
      <c r="Z18" s="1815"/>
      <c r="AA18" s="1812">
        <v>1</v>
      </c>
      <c r="AB18" s="1812">
        <v>1</v>
      </c>
      <c r="AC18" s="2674">
        <v>1</v>
      </c>
    </row>
    <row r="19" spans="1:29" ht="42.75">
      <c r="A19" s="428"/>
      <c r="B19" s="631" t="s">
        <v>2686</v>
      </c>
      <c r="C19" s="2675"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23"/>
      <c r="Q19" s="1811" t="str">
        <f>B19</f>
        <v>公共配套设施</v>
      </c>
      <c r="R19" s="774" t="s">
        <v>17</v>
      </c>
      <c r="S19" s="775">
        <f>F19</f>
        <v>100</v>
      </c>
      <c r="T19" s="774" t="s">
        <v>17</v>
      </c>
      <c r="U19" s="775">
        <f>H19</f>
        <v>100</v>
      </c>
      <c r="V19" s="774" t="s">
        <v>17</v>
      </c>
      <c r="W19" s="775">
        <f>J19</f>
        <v>100</v>
      </c>
      <c r="X19" s="1814"/>
      <c r="Y19" s="3216"/>
      <c r="Z19" s="1815" t="str">
        <f>Q19</f>
        <v>公共配套设施</v>
      </c>
      <c r="AA19" s="1812">
        <f t="shared" si="3"/>
        <v>1</v>
      </c>
      <c r="AB19" s="1812">
        <f t="shared" si="4"/>
        <v>1</v>
      </c>
      <c r="AC19" s="2674">
        <f t="shared" si="5"/>
        <v>1</v>
      </c>
    </row>
    <row r="20" spans="1:29" ht="15">
      <c r="A20" s="428"/>
      <c r="B20" s="632"/>
      <c r="C20" s="2611"/>
      <c r="D20" s="448"/>
      <c r="E20" s="2604"/>
      <c r="F20" s="448"/>
      <c r="G20" s="2605"/>
      <c r="H20" s="448"/>
      <c r="I20" s="2605"/>
      <c r="J20" s="448"/>
      <c r="K20" s="615"/>
      <c r="L20" s="1141"/>
      <c r="M20" s="1132"/>
      <c r="N20" s="1132"/>
      <c r="O20" s="1132"/>
      <c r="P20" s="3223"/>
      <c r="Q20" s="1811"/>
      <c r="R20" s="774"/>
      <c r="S20" s="775"/>
      <c r="T20" s="774"/>
      <c r="U20" s="775"/>
      <c r="V20" s="774"/>
      <c r="W20" s="775"/>
      <c r="X20" s="1814"/>
      <c r="Y20" s="3216"/>
      <c r="Z20" s="1815"/>
      <c r="AA20" s="1812">
        <v>1</v>
      </c>
      <c r="AB20" s="1812">
        <v>1</v>
      </c>
      <c r="AC20" s="2674">
        <v>1</v>
      </c>
    </row>
    <row r="21" spans="1:29" ht="28.5">
      <c r="A21" s="428"/>
      <c r="B21" s="633" t="s">
        <v>2687</v>
      </c>
      <c r="C21" s="2675"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23"/>
      <c r="Q21" s="1811" t="str">
        <f>B21</f>
        <v>基础设施水平</v>
      </c>
      <c r="R21" s="774" t="s">
        <v>17</v>
      </c>
      <c r="S21" s="775">
        <f>F21</f>
        <v>100</v>
      </c>
      <c r="T21" s="774" t="s">
        <v>17</v>
      </c>
      <c r="U21" s="775">
        <f>H21</f>
        <v>100</v>
      </c>
      <c r="V21" s="774" t="s">
        <v>17</v>
      </c>
      <c r="W21" s="775">
        <f>J21</f>
        <v>100</v>
      </c>
      <c r="X21" s="1814"/>
      <c r="Y21" s="3216"/>
      <c r="Z21" s="1815" t="str">
        <f>Q21</f>
        <v>基础设施水平</v>
      </c>
      <c r="AA21" s="1812">
        <f>D21/F21</f>
        <v>1</v>
      </c>
      <c r="AB21" s="1812">
        <f>D21/H21</f>
        <v>1</v>
      </c>
      <c r="AC21" s="2674">
        <f>D21/J21</f>
        <v>1</v>
      </c>
    </row>
    <row r="22" spans="1:29" ht="15">
      <c r="A22" s="428"/>
      <c r="B22" s="633"/>
      <c r="C22" s="2676"/>
      <c r="D22" s="448"/>
      <c r="E22" s="447"/>
      <c r="F22" s="448"/>
      <c r="G22" s="2611"/>
      <c r="H22" s="448"/>
      <c r="I22" s="2611"/>
      <c r="J22" s="448"/>
      <c r="K22" s="1384"/>
      <c r="L22" s="1141"/>
      <c r="M22" s="1132"/>
      <c r="N22" s="1132"/>
      <c r="O22" s="1132"/>
      <c r="P22" s="3223"/>
      <c r="Q22" s="1811"/>
      <c r="R22" s="774"/>
      <c r="S22" s="775"/>
      <c r="T22" s="774"/>
      <c r="U22" s="775"/>
      <c r="V22" s="774"/>
      <c r="W22" s="775"/>
      <c r="X22" s="1814"/>
      <c r="Y22" s="3216"/>
      <c r="Z22" s="1815"/>
      <c r="AA22" s="1812">
        <v>1</v>
      </c>
      <c r="AB22" s="1812">
        <v>1</v>
      </c>
      <c r="AC22" s="2674">
        <v>1</v>
      </c>
    </row>
    <row r="23" spans="1:29" ht="42.75">
      <c r="A23" s="428"/>
      <c r="B23" s="631" t="s">
        <v>2688</v>
      </c>
      <c r="C23" s="2675" t="str">
        <f>估价对象房地状况!C9</f>
        <v>区域自然环境：廉政文化公园；人文环境：自来水博物馆；综合评价环境状况较好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23"/>
      <c r="Q23" s="1811" t="str">
        <f>B23</f>
        <v>环境质量</v>
      </c>
      <c r="R23" s="774" t="s">
        <v>17</v>
      </c>
      <c r="S23" s="775">
        <f>F23</f>
        <v>100</v>
      </c>
      <c r="T23" s="774" t="s">
        <v>17</v>
      </c>
      <c r="U23" s="775">
        <f>H23</f>
        <v>100</v>
      </c>
      <c r="V23" s="774" t="s">
        <v>17</v>
      </c>
      <c r="W23" s="775">
        <f>J23</f>
        <v>100</v>
      </c>
      <c r="X23" s="1814"/>
      <c r="Y23" s="3216"/>
      <c r="Z23" s="1815" t="str">
        <f>Q23</f>
        <v>环境质量</v>
      </c>
      <c r="AA23" s="1812">
        <f t="shared" si="3"/>
        <v>1</v>
      </c>
      <c r="AB23" s="1812">
        <f t="shared" si="4"/>
        <v>1</v>
      </c>
      <c r="AC23" s="2674">
        <f t="shared" si="5"/>
        <v>1</v>
      </c>
    </row>
    <row r="24" spans="1:29" ht="15">
      <c r="A24" s="428"/>
      <c r="B24" s="633"/>
      <c r="C24" s="2611"/>
      <c r="D24" s="448"/>
      <c r="E24" s="2604"/>
      <c r="F24" s="448"/>
      <c r="G24" s="2605"/>
      <c r="H24" s="448"/>
      <c r="I24" s="2605"/>
      <c r="J24" s="448"/>
      <c r="K24" s="615"/>
      <c r="L24" s="1141"/>
      <c r="M24" s="1132"/>
      <c r="N24" s="1132"/>
      <c r="O24" s="1132"/>
      <c r="P24" s="3223"/>
      <c r="Q24" s="1811"/>
      <c r="R24" s="774"/>
      <c r="S24" s="775"/>
      <c r="T24" s="774"/>
      <c r="U24" s="775"/>
      <c r="V24" s="774"/>
      <c r="W24" s="775"/>
      <c r="X24" s="1814"/>
      <c r="Y24" s="3216"/>
      <c r="Z24" s="1815"/>
      <c r="AA24" s="1812">
        <v>1</v>
      </c>
      <c r="AB24" s="1812">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1"/>
      <c r="M25" s="1132"/>
      <c r="N25" s="1132"/>
      <c r="O25" s="1132"/>
      <c r="P25" s="3223"/>
      <c r="Q25" s="1811" t="str">
        <f>B25</f>
        <v>毗邻道路的类型与等级</v>
      </c>
      <c r="R25" s="774" t="s">
        <v>17</v>
      </c>
      <c r="S25" s="775">
        <f>F25</f>
        <v>100</v>
      </c>
      <c r="T25" s="774" t="s">
        <v>17</v>
      </c>
      <c r="U25" s="775">
        <f>H25</f>
        <v>100</v>
      </c>
      <c r="V25" s="774" t="s">
        <v>17</v>
      </c>
      <c r="W25" s="775">
        <f>J25</f>
        <v>100</v>
      </c>
      <c r="X25" s="1814"/>
      <c r="Y25" s="3216"/>
      <c r="Z25" s="1815" t="str">
        <f>Q25</f>
        <v>毗邻道路的类型与等级</v>
      </c>
      <c r="AA25" s="1812">
        <f t="shared" si="3"/>
        <v>1</v>
      </c>
      <c r="AB25" s="1812">
        <f t="shared" si="4"/>
        <v>1</v>
      </c>
      <c r="AC25" s="2674">
        <f t="shared" si="5"/>
        <v>1</v>
      </c>
    </row>
    <row r="26" spans="1:29" ht="15">
      <c r="A26" s="404"/>
      <c r="B26" s="632"/>
      <c r="C26" s="634"/>
      <c r="D26" s="435"/>
      <c r="E26" s="616"/>
      <c r="F26" s="435"/>
      <c r="G26" s="634"/>
      <c r="H26" s="435"/>
      <c r="I26" s="616"/>
      <c r="J26" s="435"/>
      <c r="K26" s="615"/>
      <c r="L26" s="1141"/>
      <c r="M26" s="1132"/>
      <c r="N26" s="1132"/>
      <c r="O26" s="1132"/>
      <c r="P26" s="3223"/>
      <c r="Q26" s="1811"/>
      <c r="R26" s="774"/>
      <c r="S26" s="775"/>
      <c r="T26" s="774"/>
      <c r="U26" s="775"/>
      <c r="V26" s="774"/>
      <c r="W26" s="775"/>
      <c r="X26" s="1814"/>
      <c r="Y26" s="3216"/>
      <c r="Z26" s="1815"/>
      <c r="AA26" s="1812">
        <v>1</v>
      </c>
      <c r="AB26" s="1812">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23"/>
      <c r="Q27" s="1811" t="str">
        <f t="shared" ref="Q27:Q47" si="8">B27</f>
        <v>楼层</v>
      </c>
      <c r="R27" s="774" t="s">
        <v>17</v>
      </c>
      <c r="S27" s="775">
        <f>F27</f>
        <v>100</v>
      </c>
      <c r="T27" s="774" t="s">
        <v>17</v>
      </c>
      <c r="U27" s="775">
        <f>H27</f>
        <v>100</v>
      </c>
      <c r="V27" s="774" t="s">
        <v>17</v>
      </c>
      <c r="W27" s="775">
        <f>J27</f>
        <v>100</v>
      </c>
      <c r="X27" s="1814"/>
      <c r="Y27" s="3216"/>
      <c r="Z27" s="1815" t="str">
        <f>Q27</f>
        <v>楼层</v>
      </c>
      <c r="AA27" s="1812">
        <f t="shared" si="3"/>
        <v>1</v>
      </c>
      <c r="AB27" s="1812">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3"/>
      <c r="M28" s="1134"/>
      <c r="N28" s="1134"/>
      <c r="O28" s="1134"/>
      <c r="P28" s="3223"/>
      <c r="Q28" s="1796" t="str">
        <f t="shared" si="8"/>
        <v>朝向</v>
      </c>
      <c r="R28" s="770" t="s">
        <v>17</v>
      </c>
      <c r="S28" s="771">
        <f>F28</f>
        <v>100</v>
      </c>
      <c r="T28" s="770" t="s">
        <v>17</v>
      </c>
      <c r="U28" s="771">
        <f>H28</f>
        <v>100</v>
      </c>
      <c r="V28" s="770" t="s">
        <v>17</v>
      </c>
      <c r="W28" s="771">
        <f>J28</f>
        <v>100</v>
      </c>
      <c r="X28" s="772"/>
      <c r="Y28" s="3216"/>
      <c r="Z28" s="55" t="str">
        <f>Q28</f>
        <v>朝向</v>
      </c>
      <c r="AA28" s="1812">
        <f>D28/F28</f>
        <v>1</v>
      </c>
      <c r="AB28" s="1812">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1"/>
      <c r="M29" s="1132"/>
      <c r="N29" s="1132"/>
      <c r="O29" s="1132"/>
      <c r="P29" s="3223"/>
      <c r="Q29" s="1811">
        <f t="shared" si="8"/>
        <v>111</v>
      </c>
      <c r="R29" s="774" t="s">
        <v>17</v>
      </c>
      <c r="S29" s="775">
        <f t="shared" ref="S29:S47" si="9">F29</f>
        <v>100</v>
      </c>
      <c r="T29" s="774" t="s">
        <v>17</v>
      </c>
      <c r="U29" s="775">
        <f t="shared" ref="U29:U47" si="10">H29</f>
        <v>100</v>
      </c>
      <c r="V29" s="774" t="s">
        <v>17</v>
      </c>
      <c r="W29" s="775">
        <f t="shared" ref="W29:W47" si="11">J29</f>
        <v>100</v>
      </c>
      <c r="X29" s="1814"/>
      <c r="Y29" s="3216"/>
      <c r="Z29" s="1815">
        <f t="shared" ref="Z29:Z47" si="12">Q29</f>
        <v>111</v>
      </c>
      <c r="AA29" s="1812">
        <f t="shared" si="3"/>
        <v>1</v>
      </c>
      <c r="AB29" s="1812">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1"/>
      <c r="M30" s="1132"/>
      <c r="N30" s="1132"/>
      <c r="O30" s="1132"/>
      <c r="P30" s="3223"/>
      <c r="Q30" s="1811">
        <f t="shared" si="8"/>
        <v>111</v>
      </c>
      <c r="R30" s="774" t="s">
        <v>17</v>
      </c>
      <c r="S30" s="775">
        <f t="shared" si="9"/>
        <v>100</v>
      </c>
      <c r="T30" s="774" t="s">
        <v>17</v>
      </c>
      <c r="U30" s="775">
        <f t="shared" si="10"/>
        <v>100</v>
      </c>
      <c r="V30" s="774" t="s">
        <v>17</v>
      </c>
      <c r="W30" s="775">
        <f t="shared" si="11"/>
        <v>100</v>
      </c>
      <c r="X30" s="1814"/>
      <c r="Y30" s="3216"/>
      <c r="Z30" s="1815">
        <f t="shared" si="12"/>
        <v>111</v>
      </c>
      <c r="AA30" s="1812">
        <f t="shared" si="3"/>
        <v>1</v>
      </c>
      <c r="AB30" s="1812">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1"/>
      <c r="M31" s="1132"/>
      <c r="N31" s="1132"/>
      <c r="O31" s="1132"/>
      <c r="P31" s="3223"/>
      <c r="Q31" s="1811">
        <f t="shared" si="8"/>
        <v>111</v>
      </c>
      <c r="R31" s="774" t="s">
        <v>17</v>
      </c>
      <c r="S31" s="775">
        <f t="shared" si="9"/>
        <v>100</v>
      </c>
      <c r="T31" s="774" t="s">
        <v>17</v>
      </c>
      <c r="U31" s="775">
        <f t="shared" si="10"/>
        <v>100</v>
      </c>
      <c r="V31" s="774" t="s">
        <v>17</v>
      </c>
      <c r="W31" s="775">
        <f t="shared" si="11"/>
        <v>100</v>
      </c>
      <c r="X31" s="1814"/>
      <c r="Y31" s="3216"/>
      <c r="Z31" s="1815">
        <f t="shared" si="12"/>
        <v>111</v>
      </c>
      <c r="AA31" s="1812">
        <f t="shared" si="3"/>
        <v>1</v>
      </c>
      <c r="AB31" s="1812">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1"/>
      <c r="M32" s="1132"/>
      <c r="N32" s="1132"/>
      <c r="O32" s="1132"/>
      <c r="P32" s="3223"/>
      <c r="Q32" s="1811">
        <f t="shared" si="8"/>
        <v>111</v>
      </c>
      <c r="R32" s="774" t="s">
        <v>17</v>
      </c>
      <c r="S32" s="775">
        <f t="shared" si="9"/>
        <v>100</v>
      </c>
      <c r="T32" s="774" t="s">
        <v>17</v>
      </c>
      <c r="U32" s="775">
        <f t="shared" si="10"/>
        <v>100</v>
      </c>
      <c r="V32" s="774" t="s">
        <v>17</v>
      </c>
      <c r="W32" s="775">
        <f t="shared" si="11"/>
        <v>100</v>
      </c>
      <c r="X32" s="1814"/>
      <c r="Y32" s="3216"/>
      <c r="Z32" s="1815">
        <f t="shared" si="12"/>
        <v>111</v>
      </c>
      <c r="AA32" s="1812">
        <f t="shared" si="3"/>
        <v>1</v>
      </c>
      <c r="AB32" s="1812">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1"/>
      <c r="M33" s="1132"/>
      <c r="N33" s="1132"/>
      <c r="O33" s="1132"/>
      <c r="P33" s="3217" t="s">
        <v>2563</v>
      </c>
      <c r="Q33" s="1811" t="str">
        <f t="shared" si="8"/>
        <v>建筑类型</v>
      </c>
      <c r="R33" s="774" t="s">
        <v>17</v>
      </c>
      <c r="S33" s="775">
        <f t="shared" si="9"/>
        <v>100</v>
      </c>
      <c r="T33" s="774" t="s">
        <v>17</v>
      </c>
      <c r="U33" s="775">
        <f t="shared" si="10"/>
        <v>100</v>
      </c>
      <c r="V33" s="774" t="s">
        <v>17</v>
      </c>
      <c r="W33" s="775">
        <f t="shared" si="11"/>
        <v>100</v>
      </c>
      <c r="X33" s="1814"/>
      <c r="Y33" s="3220" t="s">
        <v>2563</v>
      </c>
      <c r="Z33" s="1815" t="str">
        <f t="shared" si="12"/>
        <v>建筑类型</v>
      </c>
      <c r="AA33" s="1812">
        <f t="shared" si="3"/>
        <v>1</v>
      </c>
      <c r="AB33" s="1812">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18"/>
      <c r="Q34" s="776" t="str">
        <f t="shared" si="8"/>
        <v>项目建筑规模</v>
      </c>
      <c r="R34" s="777" t="s">
        <v>17</v>
      </c>
      <c r="S34" s="778" t="e">
        <f t="shared" si="9"/>
        <v>#N/A</v>
      </c>
      <c r="T34" s="777" t="s">
        <v>17</v>
      </c>
      <c r="U34" s="778" t="e">
        <f t="shared" si="10"/>
        <v>#N/A</v>
      </c>
      <c r="V34" s="777" t="s">
        <v>17</v>
      </c>
      <c r="W34" s="778" t="e">
        <f t="shared" si="11"/>
        <v>#N/A</v>
      </c>
      <c r="X34" s="779"/>
      <c r="Y34" s="3220"/>
      <c r="Z34" s="780" t="str">
        <f t="shared" si="12"/>
        <v>项目建筑规模</v>
      </c>
      <c r="AA34" s="1812" t="e">
        <f t="shared" si="3"/>
        <v>#N/A</v>
      </c>
      <c r="AB34" s="1812"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18"/>
      <c r="Q35" s="1811" t="str">
        <f t="shared" si="8"/>
        <v>建筑结构</v>
      </c>
      <c r="R35" s="774" t="s">
        <v>17</v>
      </c>
      <c r="S35" s="775">
        <f t="shared" si="9"/>
        <v>100</v>
      </c>
      <c r="T35" s="774" t="s">
        <v>17</v>
      </c>
      <c r="U35" s="775">
        <f t="shared" si="10"/>
        <v>100</v>
      </c>
      <c r="V35" s="774" t="s">
        <v>17</v>
      </c>
      <c r="W35" s="775">
        <f t="shared" si="11"/>
        <v>100</v>
      </c>
      <c r="X35" s="1814"/>
      <c r="Y35" s="3220"/>
      <c r="Z35" s="1815" t="str">
        <f t="shared" si="12"/>
        <v>建筑结构</v>
      </c>
      <c r="AA35" s="1812">
        <f t="shared" si="3"/>
        <v>1</v>
      </c>
      <c r="AB35" s="1812">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18"/>
      <c r="Q36" s="1811" t="str">
        <f t="shared" si="8"/>
        <v>公共部分装修</v>
      </c>
      <c r="R36" s="774" t="s">
        <v>17</v>
      </c>
      <c r="S36" s="775">
        <f t="shared" si="9"/>
        <v>100</v>
      </c>
      <c r="T36" s="774" t="s">
        <v>17</v>
      </c>
      <c r="U36" s="775">
        <f t="shared" si="10"/>
        <v>100</v>
      </c>
      <c r="V36" s="774" t="s">
        <v>17</v>
      </c>
      <c r="W36" s="775">
        <f t="shared" si="11"/>
        <v>100</v>
      </c>
      <c r="X36" s="1814"/>
      <c r="Y36" s="3220"/>
      <c r="Z36" s="1815" t="str">
        <f t="shared" si="12"/>
        <v>公共部分装修</v>
      </c>
      <c r="AA36" s="1812">
        <f t="shared" si="3"/>
        <v>1</v>
      </c>
      <c r="AB36" s="1812">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18"/>
      <c r="Q37" s="1811" t="str">
        <f t="shared" si="8"/>
        <v>成新度</v>
      </c>
      <c r="R37" s="774" t="s">
        <v>17</v>
      </c>
      <c r="S37" s="775" t="e">
        <f t="shared" si="9"/>
        <v>#N/A</v>
      </c>
      <c r="T37" s="774" t="s">
        <v>17</v>
      </c>
      <c r="U37" s="775" t="e">
        <f t="shared" si="10"/>
        <v>#N/A</v>
      </c>
      <c r="V37" s="774" t="s">
        <v>17</v>
      </c>
      <c r="W37" s="775" t="e">
        <f t="shared" si="11"/>
        <v>#N/A</v>
      </c>
      <c r="X37" s="1814"/>
      <c r="Y37" s="3220"/>
      <c r="Z37" s="1815" t="str">
        <f t="shared" si="12"/>
        <v>成新度</v>
      </c>
      <c r="AA37" s="1812" t="e">
        <f t="shared" si="3"/>
        <v>#N/A</v>
      </c>
      <c r="AB37" s="1812"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8"/>
      <c r="Q38" s="1796" t="str">
        <f t="shared" si="8"/>
        <v>写字楼等级</v>
      </c>
      <c r="R38" s="770" t="s">
        <v>17</v>
      </c>
      <c r="S38" s="771">
        <f t="shared" si="9"/>
        <v>100</v>
      </c>
      <c r="T38" s="770" t="s">
        <v>17</v>
      </c>
      <c r="U38" s="771">
        <f t="shared" si="10"/>
        <v>100</v>
      </c>
      <c r="V38" s="770" t="s">
        <v>17</v>
      </c>
      <c r="W38" s="771">
        <f t="shared" si="11"/>
        <v>100</v>
      </c>
      <c r="X38" s="772"/>
      <c r="Y38" s="3220"/>
      <c r="Z38" s="55" t="str">
        <f t="shared" si="12"/>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18" t="s">
        <v>2563</v>
      </c>
      <c r="Q39" s="1811" t="str">
        <f t="shared" si="8"/>
        <v>物业管理</v>
      </c>
      <c r="R39" s="774" t="s">
        <v>17</v>
      </c>
      <c r="S39" s="775">
        <f t="shared" si="9"/>
        <v>100</v>
      </c>
      <c r="T39" s="774" t="s">
        <v>17</v>
      </c>
      <c r="U39" s="775">
        <f t="shared" si="10"/>
        <v>100</v>
      </c>
      <c r="V39" s="774" t="s">
        <v>17</v>
      </c>
      <c r="W39" s="775">
        <f t="shared" si="11"/>
        <v>100</v>
      </c>
      <c r="X39" s="1814"/>
      <c r="Y39" s="3220" t="s">
        <v>2563</v>
      </c>
      <c r="Z39" s="1815" t="str">
        <f t="shared" si="12"/>
        <v>物业管理</v>
      </c>
      <c r="AA39" s="1812">
        <f t="shared" si="3"/>
        <v>1</v>
      </c>
      <c r="AB39" s="1812">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18"/>
      <c r="Q40" s="1811" t="str">
        <f t="shared" si="8"/>
        <v>市政基础设施</v>
      </c>
      <c r="R40" s="774" t="s">
        <v>17</v>
      </c>
      <c r="S40" s="775">
        <f t="shared" si="9"/>
        <v>100</v>
      </c>
      <c r="T40" s="774" t="s">
        <v>17</v>
      </c>
      <c r="U40" s="775">
        <f t="shared" si="10"/>
        <v>100</v>
      </c>
      <c r="V40" s="774" t="s">
        <v>17</v>
      </c>
      <c r="W40" s="775">
        <f t="shared" si="11"/>
        <v>100</v>
      </c>
      <c r="X40" s="1814"/>
      <c r="Y40" s="3220"/>
      <c r="Z40" s="1815" t="str">
        <f t="shared" si="12"/>
        <v>市政基础设施</v>
      </c>
      <c r="AA40" s="1812">
        <f t="shared" si="3"/>
        <v>1</v>
      </c>
      <c r="AB40" s="1812">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8"/>
      <c r="Q41" s="1811" t="str">
        <f t="shared" si="8"/>
        <v>层高</v>
      </c>
      <c r="R41" s="774" t="s">
        <v>17</v>
      </c>
      <c r="S41" s="775">
        <f t="shared" si="9"/>
        <v>100</v>
      </c>
      <c r="T41" s="774" t="s">
        <v>17</v>
      </c>
      <c r="U41" s="775">
        <f t="shared" si="10"/>
        <v>100</v>
      </c>
      <c r="V41" s="774" t="s">
        <v>17</v>
      </c>
      <c r="W41" s="775">
        <f t="shared" si="11"/>
        <v>100</v>
      </c>
      <c r="X41" s="1814"/>
      <c r="Y41" s="3220"/>
      <c r="Z41" s="1815" t="str">
        <f t="shared" si="12"/>
        <v>层高</v>
      </c>
      <c r="AA41" s="1812">
        <f t="shared" si="3"/>
        <v>1</v>
      </c>
      <c r="AB41" s="1812">
        <f t="shared" si="4"/>
        <v>1</v>
      </c>
      <c r="AC41" s="2674">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8"/>
      <c r="Q42" s="776" t="str">
        <f t="shared" si="8"/>
        <v>单套建筑面积</v>
      </c>
      <c r="R42" s="777" t="s">
        <v>17</v>
      </c>
      <c r="S42" s="778">
        <f t="shared" si="9"/>
        <v>100</v>
      </c>
      <c r="T42" s="777" t="s">
        <v>17</v>
      </c>
      <c r="U42" s="778">
        <f t="shared" si="10"/>
        <v>100</v>
      </c>
      <c r="V42" s="777" t="s">
        <v>17</v>
      </c>
      <c r="W42" s="778">
        <f t="shared" si="11"/>
        <v>100</v>
      </c>
      <c r="X42" s="779"/>
      <c r="Y42" s="3220"/>
      <c r="Z42" s="780" t="str">
        <f t="shared" si="12"/>
        <v>单套建筑面积</v>
      </c>
      <c r="AA42" s="1812">
        <f t="shared" si="3"/>
        <v>1</v>
      </c>
      <c r="AB42" s="1812">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18"/>
      <c r="Q43" s="1811" t="str">
        <f t="shared" si="8"/>
        <v>内部装修</v>
      </c>
      <c r="R43" s="774" t="s">
        <v>17</v>
      </c>
      <c r="S43" s="775">
        <f t="shared" si="9"/>
        <v>100</v>
      </c>
      <c r="T43" s="774" t="s">
        <v>17</v>
      </c>
      <c r="U43" s="775">
        <f t="shared" si="10"/>
        <v>100</v>
      </c>
      <c r="V43" s="774" t="s">
        <v>17</v>
      </c>
      <c r="W43" s="775">
        <f t="shared" si="11"/>
        <v>100</v>
      </c>
      <c r="X43" s="1814"/>
      <c r="Y43" s="3220"/>
      <c r="Z43" s="1815" t="str">
        <f t="shared" si="12"/>
        <v>内部装修</v>
      </c>
      <c r="AA43" s="1812">
        <f t="shared" si="3"/>
        <v>1</v>
      </c>
      <c r="AB43" s="1812">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1"/>
      <c r="M44" s="1132"/>
      <c r="N44" s="1132"/>
      <c r="O44" s="1132"/>
      <c r="P44" s="3218"/>
      <c r="Q44" s="1811" t="str">
        <f t="shared" si="8"/>
        <v>内部装修维护情况</v>
      </c>
      <c r="R44" s="774" t="s">
        <v>17</v>
      </c>
      <c r="S44" s="775">
        <f t="shared" si="9"/>
        <v>100</v>
      </c>
      <c r="T44" s="774" t="s">
        <v>17</v>
      </c>
      <c r="U44" s="775">
        <f t="shared" si="10"/>
        <v>100</v>
      </c>
      <c r="V44" s="774" t="s">
        <v>17</v>
      </c>
      <c r="W44" s="775">
        <f t="shared" si="11"/>
        <v>100</v>
      </c>
      <c r="X44" s="1814"/>
      <c r="Y44" s="3220"/>
      <c r="Z44" s="1815" t="str">
        <f t="shared" si="12"/>
        <v>内部装修维护情况</v>
      </c>
      <c r="AA44" s="1812">
        <f t="shared" si="3"/>
        <v>1</v>
      </c>
      <c r="AB44" s="1812">
        <f t="shared" si="4"/>
        <v>1</v>
      </c>
      <c r="AC44" s="2674">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8"/>
      <c r="Q45" s="1796">
        <f t="shared" si="8"/>
        <v>111</v>
      </c>
      <c r="R45" s="770" t="s">
        <v>17</v>
      </c>
      <c r="S45" s="771">
        <f t="shared" si="9"/>
        <v>100</v>
      </c>
      <c r="T45" s="770" t="s">
        <v>17</v>
      </c>
      <c r="U45" s="771">
        <f t="shared" si="10"/>
        <v>100</v>
      </c>
      <c r="V45" s="770" t="s">
        <v>17</v>
      </c>
      <c r="W45" s="771">
        <f t="shared" si="11"/>
        <v>100</v>
      </c>
      <c r="X45" s="772"/>
      <c r="Y45" s="3220"/>
      <c r="Z45" s="55">
        <f t="shared" si="12"/>
        <v>111</v>
      </c>
      <c r="AA45" s="773">
        <f t="shared" si="3"/>
        <v>1</v>
      </c>
      <c r="AB45" s="773">
        <f t="shared" si="4"/>
        <v>1</v>
      </c>
      <c r="AC45" s="2671">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8"/>
      <c r="Q46" s="1811">
        <f t="shared" si="8"/>
        <v>111</v>
      </c>
      <c r="R46" s="774" t="s">
        <v>17</v>
      </c>
      <c r="S46" s="775">
        <f t="shared" si="9"/>
        <v>100</v>
      </c>
      <c r="T46" s="774" t="s">
        <v>17</v>
      </c>
      <c r="U46" s="775">
        <f t="shared" si="10"/>
        <v>100</v>
      </c>
      <c r="V46" s="774" t="s">
        <v>17</v>
      </c>
      <c r="W46" s="775">
        <f t="shared" si="11"/>
        <v>100</v>
      </c>
      <c r="X46" s="1814"/>
      <c r="Y46" s="3220"/>
      <c r="Z46" s="1815">
        <f t="shared" si="12"/>
        <v>111</v>
      </c>
      <c r="AA46" s="1812">
        <f t="shared" si="3"/>
        <v>1</v>
      </c>
      <c r="AB46" s="1812">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9"/>
      <c r="Q47" s="1811">
        <f t="shared" si="8"/>
        <v>111</v>
      </c>
      <c r="R47" s="774" t="s">
        <v>17</v>
      </c>
      <c r="S47" s="775">
        <f t="shared" si="9"/>
        <v>100</v>
      </c>
      <c r="T47" s="774" t="s">
        <v>17</v>
      </c>
      <c r="U47" s="775">
        <f t="shared" si="10"/>
        <v>100</v>
      </c>
      <c r="V47" s="774" t="s">
        <v>17</v>
      </c>
      <c r="W47" s="775">
        <f t="shared" si="11"/>
        <v>100</v>
      </c>
      <c r="X47" s="1814"/>
      <c r="Y47" s="3221"/>
      <c r="Z47" s="1815">
        <f t="shared" si="12"/>
        <v>111</v>
      </c>
      <c r="AA47" s="1812">
        <f t="shared" si="3"/>
        <v>1</v>
      </c>
      <c r="AB47" s="1812">
        <f t="shared" si="4"/>
        <v>1</v>
      </c>
      <c r="AC47" s="2674">
        <f t="shared" si="5"/>
        <v>1</v>
      </c>
    </row>
    <row r="48" spans="1:29" ht="15">
      <c r="A48" s="479" t="s">
        <v>2575</v>
      </c>
      <c r="B48" s="480"/>
      <c r="C48" s="1408" t="s">
        <v>1</v>
      </c>
      <c r="D48" s="1409"/>
      <c r="E48" s="1410"/>
      <c r="F48" s="1411"/>
      <c r="G48" s="1412"/>
      <c r="H48" s="1413"/>
      <c r="I48" s="1410"/>
      <c r="J48" s="485"/>
      <c r="K48" s="783"/>
      <c r="L48" s="1144"/>
      <c r="M48" s="1132"/>
      <c r="N48" s="1132"/>
      <c r="O48" s="1132"/>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2667</v>
      </c>
      <c r="B49" s="487"/>
      <c r="C49" s="1414" t="e">
        <f>R50</f>
        <v>#DIV/0!</v>
      </c>
      <c r="D49" s="1415"/>
      <c r="E49" s="1416" t="e">
        <f>R49</f>
        <v>#DIV/0!</v>
      </c>
      <c r="F49" s="1416"/>
      <c r="G49" s="1414" t="e">
        <f>T49</f>
        <v>#DIV/0!</v>
      </c>
      <c r="H49" s="1415"/>
      <c r="I49" s="1416" t="e">
        <f>V49</f>
        <v>#DIV/0!</v>
      </c>
      <c r="J49" s="489"/>
      <c r="K49" s="784"/>
      <c r="L49" s="1144"/>
      <c r="M49" s="1132"/>
      <c r="N49" s="1132"/>
      <c r="O49" s="1132"/>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2668</v>
      </c>
      <c r="B50" s="493"/>
      <c r="C50" s="1418" t="e">
        <f>R50</f>
        <v>#DIV/0!</v>
      </c>
      <c r="D50" s="1418"/>
      <c r="E50" s="1418"/>
      <c r="F50" s="1418"/>
      <c r="G50" s="1418"/>
      <c r="H50" s="1418"/>
      <c r="I50" s="1418"/>
      <c r="J50" s="494"/>
      <c r="K50" s="785"/>
      <c r="L50" s="1144"/>
      <c r="M50" s="1132"/>
      <c r="N50" s="1132"/>
      <c r="O50" s="1132"/>
      <c r="P50" s="3236" t="str">
        <f>A50</f>
        <v>估价对象XX用房的比较价值（楼面单价，元/平方米）</v>
      </c>
      <c r="Q50" s="3237"/>
      <c r="R50" s="3238" t="e">
        <f>IF(F1="售价",ROUND(AVERAGE(R49:V49),0),ROUND(AVERAGE(R49:V49),1))</f>
        <v>#DIV/0!</v>
      </c>
      <c r="S50" s="3238"/>
      <c r="T50" s="3238"/>
      <c r="U50" s="3238"/>
      <c r="V50" s="3238"/>
      <c r="W50" s="3238"/>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3" t="s">
        <v>2672</v>
      </c>
      <c r="B58" s="759"/>
      <c r="C58" s="764"/>
      <c r="D58" s="764"/>
      <c r="E58" s="764"/>
      <c r="F58" s="765"/>
      <c r="G58" s="765"/>
      <c r="H58" s="764"/>
      <c r="I58" s="764"/>
      <c r="J58" s="764"/>
      <c r="K58" s="766"/>
      <c r="L58" s="1162"/>
      <c r="M58" s="1160"/>
      <c r="N58" s="1160"/>
      <c r="O58" s="1160"/>
      <c r="P58" s="2681"/>
      <c r="Q58" s="504"/>
    </row>
    <row r="59" spans="1:29" s="508" customFormat="1" ht="15">
      <c r="A59" s="505" t="s">
        <v>2546</v>
      </c>
      <c r="B59" s="506"/>
      <c r="C59" s="1575" t="str">
        <f>YEAR(C7)&amp;"-"&amp;MONTH(C7)</f>
        <v>2018-12</v>
      </c>
      <c r="D59" s="1576">
        <f>EDATE(C59,-1)</f>
        <v>43405</v>
      </c>
      <c r="E59" s="1576">
        <f>EDATE(D59,-1)</f>
        <v>43374</v>
      </c>
      <c r="F59" s="1576">
        <f t="shared" ref="F59:O59" si="13">EDATE(E59,-1)</f>
        <v>43344</v>
      </c>
      <c r="G59" s="1576">
        <f t="shared" si="13"/>
        <v>43313</v>
      </c>
      <c r="H59" s="1576">
        <f t="shared" si="13"/>
        <v>43282</v>
      </c>
      <c r="I59" s="1576">
        <f t="shared" si="13"/>
        <v>43252</v>
      </c>
      <c r="J59" s="1576">
        <f t="shared" si="13"/>
        <v>43221</v>
      </c>
      <c r="K59" s="1576">
        <f t="shared" si="13"/>
        <v>43191</v>
      </c>
      <c r="L59" s="1576">
        <f t="shared" si="13"/>
        <v>43160</v>
      </c>
      <c r="M59" s="1576">
        <f t="shared" si="13"/>
        <v>43132</v>
      </c>
      <c r="N59" s="1576">
        <f t="shared" si="13"/>
        <v>43101</v>
      </c>
      <c r="O59" s="1576">
        <f t="shared" si="13"/>
        <v>43070</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2586</v>
      </c>
      <c r="B64" s="528" t="s">
        <v>2552</v>
      </c>
      <c r="C64" s="529">
        <f>C9</f>
        <v>0</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4"/>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4"/>
      <c r="O68" s="1154"/>
      <c r="P68" s="2684"/>
      <c r="Q68" s="504"/>
    </row>
    <row r="69" spans="1:17" ht="15">
      <c r="A69" s="534"/>
      <c r="B69" s="548"/>
      <c r="C69" s="549"/>
      <c r="D69" s="549"/>
      <c r="E69" s="549"/>
      <c r="F69" s="549"/>
      <c r="G69" s="549"/>
      <c r="H69" s="549"/>
      <c r="I69" s="549"/>
      <c r="J69" s="549"/>
      <c r="K69" s="550"/>
      <c r="L69" s="551"/>
      <c r="M69" s="552"/>
      <c r="N69" s="1153"/>
      <c r="O69" s="1153"/>
      <c r="P69" s="268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3"/>
      <c r="N83" s="1154"/>
      <c r="O83" s="1154"/>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4"/>
      <c r="Q86" s="504"/>
    </row>
    <row r="87" spans="1:17" s="117" customFormat="1" ht="27.75" thickTop="1">
      <c r="A87" s="579"/>
      <c r="B87" s="538" t="s">
        <v>2697</v>
      </c>
      <c r="C87" s="554"/>
      <c r="D87" s="554"/>
      <c r="E87" s="554"/>
      <c r="F87" s="554"/>
      <c r="G87" s="554"/>
      <c r="H87" s="554"/>
      <c r="I87" s="554"/>
      <c r="J87" s="554"/>
      <c r="K87" s="554"/>
      <c r="L87" s="580"/>
      <c r="M87" s="581"/>
      <c r="N87" s="1152"/>
      <c r="O87" s="1152"/>
      <c r="P87" s="268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4"/>
      <c r="O88" s="1154"/>
      <c r="P88" s="2684"/>
      <c r="Q88" s="504"/>
    </row>
    <row r="89" spans="1:17" s="117" customFormat="1" ht="15.75" thickTop="1">
      <c r="A89" s="579"/>
      <c r="B89" s="538" t="str">
        <f>B27</f>
        <v>楼层</v>
      </c>
      <c r="C89" s="554"/>
      <c r="D89" s="554"/>
      <c r="E89" s="554"/>
      <c r="F89" s="2635"/>
      <c r="G89" s="554"/>
      <c r="H89" s="554"/>
      <c r="I89" s="554"/>
      <c r="J89" s="554"/>
      <c r="K89" s="554"/>
      <c r="L89" s="554"/>
      <c r="M89" s="581"/>
      <c r="N89" s="1152"/>
      <c r="O89" s="1152"/>
      <c r="P89" s="268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6"/>
      <c r="B100" s="569"/>
      <c r="C100" s="570"/>
      <c r="D100" s="570"/>
      <c r="E100" s="570"/>
      <c r="F100" s="570"/>
      <c r="G100" s="591"/>
      <c r="H100" s="591"/>
      <c r="I100" s="591"/>
      <c r="J100" s="591"/>
      <c r="K100" s="591"/>
      <c r="L100" s="591"/>
      <c r="M100" s="592"/>
      <c r="N100" s="1154"/>
      <c r="O100" s="1154"/>
      <c r="P100" s="2684"/>
      <c r="Q100" s="504"/>
    </row>
    <row r="101" spans="1:17">
      <c r="A101" s="527" t="s">
        <v>2561</v>
      </c>
      <c r="B101" s="528" t="s">
        <v>2610</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4"/>
      <c r="O102" s="1154"/>
      <c r="P102" s="2684"/>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2"/>
      <c r="O103" s="1152"/>
      <c r="P103" s="2684"/>
      <c r="Q103" s="504"/>
    </row>
    <row r="104" spans="1:17" s="471" customFormat="1">
      <c r="A104" s="593"/>
      <c r="B104" s="594"/>
      <c r="C104" s="595"/>
      <c r="D104" s="595"/>
      <c r="E104" s="595"/>
      <c r="F104" s="595"/>
      <c r="G104" s="595"/>
      <c r="H104" s="595"/>
      <c r="I104" s="595"/>
      <c r="J104" s="596"/>
      <c r="K104" s="596"/>
      <c r="L104" s="597"/>
      <c r="M104" s="598"/>
      <c r="N104" s="1155"/>
      <c r="O104" s="1155"/>
      <c r="P104" s="2685"/>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5"/>
      <c r="Q105" s="559"/>
    </row>
    <row r="106" spans="1:17" ht="15" thickTop="1">
      <c r="A106" s="599"/>
      <c r="B106" s="538" t="s">
        <v>2612</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4"/>
      <c r="O107" s="1154"/>
      <c r="P107" s="2684"/>
      <c r="Q107" s="504"/>
    </row>
    <row r="108" spans="1:17" ht="15" thickTop="1">
      <c r="A108" s="599"/>
      <c r="B108" s="538" t="s">
        <v>2614</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4"/>
      <c r="O112" s="1154"/>
      <c r="P112" s="2684"/>
      <c r="Q112" s="504"/>
    </row>
    <row r="113" spans="1:17" s="471" customFormat="1" ht="15" thickTop="1">
      <c r="A113" s="593"/>
      <c r="B113" s="538" t="s">
        <v>2698</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5"/>
      <c r="O114" s="1155"/>
      <c r="P114" s="2685"/>
      <c r="Q114" s="559"/>
    </row>
    <row r="115" spans="1:17" ht="15" thickTop="1">
      <c r="A115" s="599"/>
      <c r="B115" s="538" t="s">
        <v>2615</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4"/>
      <c r="O116" s="1154"/>
      <c r="P116" s="2684"/>
      <c r="Q116" s="504"/>
    </row>
    <row r="117" spans="1:17" ht="15" thickTop="1">
      <c r="A117" s="599"/>
      <c r="B117" s="538" t="s">
        <v>2616</v>
      </c>
      <c r="C117" s="554"/>
      <c r="D117" s="554"/>
      <c r="E117" s="554"/>
      <c r="F117" s="554"/>
      <c r="G117" s="554"/>
      <c r="H117" s="583"/>
      <c r="I117" s="583"/>
      <c r="J117" s="583"/>
      <c r="K117" s="584"/>
      <c r="L117" s="585"/>
      <c r="M117" s="586"/>
      <c r="N117" s="1153"/>
      <c r="O117" s="1153"/>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4"/>
      <c r="Q118" s="504"/>
    </row>
    <row r="119" spans="1:17" ht="15" thickTop="1">
      <c r="A119" s="599"/>
      <c r="B119" s="636" t="s">
        <v>2699</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4"/>
      <c r="O120" s="1154"/>
      <c r="P120" s="2684"/>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2618</v>
      </c>
      <c r="C123" s="554"/>
      <c r="D123" s="554"/>
      <c r="E123" s="554"/>
      <c r="F123" s="583"/>
      <c r="G123" s="583"/>
      <c r="H123" s="583"/>
      <c r="I123" s="583"/>
      <c r="J123" s="583"/>
      <c r="K123" s="584"/>
      <c r="L123" s="585"/>
      <c r="M123" s="586"/>
      <c r="N123" s="1153"/>
      <c r="O123" s="1153"/>
      <c r="P123" s="268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111</v>
      </c>
      <c r="C131" s="523"/>
      <c r="D131" s="523"/>
      <c r="E131" s="523"/>
      <c r="F131" s="523"/>
      <c r="G131" s="587"/>
      <c r="H131" s="587"/>
      <c r="I131" s="587"/>
      <c r="J131" s="587"/>
      <c r="K131" s="523"/>
      <c r="L131" s="524"/>
      <c r="M131" s="590"/>
      <c r="N131" s="1153"/>
      <c r="O131" s="1153"/>
      <c r="P131" s="2684"/>
      <c r="Q131" s="504"/>
    </row>
    <row r="132" spans="1:17" ht="15.75" thickBot="1">
      <c r="A132" s="2636"/>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9" t="s">
        <v>2700</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6"/>
      <c r="D2" s="1125"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50120.32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1"/>
      <c r="M6" s="1132"/>
      <c r="N6" s="1132"/>
      <c r="O6" s="1132"/>
      <c r="P6" s="3204"/>
      <c r="Q6" s="3205"/>
      <c r="R6" s="3185"/>
      <c r="S6" s="3186"/>
      <c r="T6" s="3206"/>
      <c r="U6" s="3207"/>
      <c r="V6" s="3208"/>
      <c r="W6" s="3208"/>
      <c r="X6" s="1814"/>
      <c r="Y6" s="3206"/>
      <c r="Z6" s="3207"/>
      <c r="AA6" s="3180"/>
      <c r="AB6" s="3180"/>
      <c r="AC6" s="3180"/>
    </row>
    <row r="7" spans="1:29" s="117" customFormat="1" ht="15.75" thickBot="1">
      <c r="A7" s="408" t="s">
        <v>2546</v>
      </c>
      <c r="B7" s="409"/>
      <c r="C7" s="410">
        <f>'数据-取费表'!B2</f>
        <v>43458</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13"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13"/>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13"/>
      <c r="Q11" s="1796"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13"/>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13"/>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13"/>
      <c r="Q14" s="1796">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5" t="s">
        <v>2558</v>
      </c>
      <c r="Q15" s="1811" t="str">
        <f t="shared" si="6"/>
        <v>产业集聚程度</v>
      </c>
      <c r="R15" s="774" t="s">
        <v>17</v>
      </c>
      <c r="S15" s="775">
        <f t="shared" si="0"/>
        <v>100</v>
      </c>
      <c r="T15" s="774" t="s">
        <v>17</v>
      </c>
      <c r="U15" s="775">
        <f t="shared" si="1"/>
        <v>100</v>
      </c>
      <c r="V15" s="774" t="s">
        <v>17</v>
      </c>
      <c r="W15" s="775">
        <f t="shared" si="2"/>
        <v>100</v>
      </c>
      <c r="X15" s="1814"/>
      <c r="Y15" s="3215"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16"/>
      <c r="Q16" s="1811"/>
      <c r="R16" s="774"/>
      <c r="S16" s="775"/>
      <c r="T16" s="774"/>
      <c r="U16" s="775"/>
      <c r="V16" s="774"/>
      <c r="W16" s="775"/>
      <c r="X16" s="1814"/>
      <c r="Y16" s="3216"/>
      <c r="Z16" s="1815"/>
      <c r="AA16" s="1812">
        <v>1</v>
      </c>
      <c r="AB16" s="1812">
        <v>1</v>
      </c>
      <c r="AC16" s="1812">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6"/>
      <c r="Q17" s="1811" t="str">
        <f>B17</f>
        <v>交通便捷度</v>
      </c>
      <c r="R17" s="774" t="s">
        <v>17</v>
      </c>
      <c r="S17" s="775">
        <f>F17</f>
        <v>100</v>
      </c>
      <c r="T17" s="774" t="s">
        <v>17</v>
      </c>
      <c r="U17" s="775">
        <f>H17</f>
        <v>100</v>
      </c>
      <c r="V17" s="774" t="s">
        <v>17</v>
      </c>
      <c r="W17" s="775">
        <f>J17</f>
        <v>100</v>
      </c>
      <c r="X17" s="1814"/>
      <c r="Y17" s="3216"/>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40"/>
      <c r="P18" s="3216"/>
      <c r="Q18" s="1811"/>
      <c r="R18" s="774"/>
      <c r="S18" s="775"/>
      <c r="T18" s="774"/>
      <c r="U18" s="775"/>
      <c r="V18" s="774"/>
      <c r="W18" s="775"/>
      <c r="X18" s="1814"/>
      <c r="Y18" s="3216"/>
      <c r="Z18" s="1815"/>
      <c r="AA18" s="1812">
        <v>1</v>
      </c>
      <c r="AB18" s="1812">
        <v>1</v>
      </c>
      <c r="AC18" s="1812">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6"/>
      <c r="Q19" s="1811" t="str">
        <f>B19</f>
        <v>公共配套设施</v>
      </c>
      <c r="R19" s="774" t="s">
        <v>17</v>
      </c>
      <c r="S19" s="775">
        <f>F19</f>
        <v>100</v>
      </c>
      <c r="T19" s="774" t="s">
        <v>17</v>
      </c>
      <c r="U19" s="775">
        <f>H19</f>
        <v>100</v>
      </c>
      <c r="V19" s="774" t="s">
        <v>17</v>
      </c>
      <c r="W19" s="775">
        <f>J19</f>
        <v>100</v>
      </c>
      <c r="X19" s="1814"/>
      <c r="Y19" s="3216"/>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40"/>
      <c r="P20" s="3216"/>
      <c r="Q20" s="1811"/>
      <c r="R20" s="774"/>
      <c r="S20" s="775"/>
      <c r="T20" s="774"/>
      <c r="U20" s="775"/>
      <c r="V20" s="774"/>
      <c r="W20" s="775"/>
      <c r="X20" s="1814"/>
      <c r="Y20" s="3216"/>
      <c r="Z20" s="1815"/>
      <c r="AA20" s="1812">
        <v>1</v>
      </c>
      <c r="AB20" s="1812">
        <v>1</v>
      </c>
      <c r="AC20" s="1812">
        <v>1</v>
      </c>
    </row>
    <row r="21" spans="1:29" ht="28.5">
      <c r="A21" s="428"/>
      <c r="B21" s="1385"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6"/>
      <c r="Q21" s="1811" t="str">
        <f>B21</f>
        <v>基础设施水平</v>
      </c>
      <c r="R21" s="774" t="s">
        <v>17</v>
      </c>
      <c r="S21" s="775">
        <f>F21</f>
        <v>100</v>
      </c>
      <c r="T21" s="774" t="s">
        <v>17</v>
      </c>
      <c r="U21" s="775">
        <f>H21</f>
        <v>100</v>
      </c>
      <c r="V21" s="774" t="s">
        <v>17</v>
      </c>
      <c r="W21" s="775">
        <f>J21</f>
        <v>100</v>
      </c>
      <c r="X21" s="1814"/>
      <c r="Y21" s="3216"/>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40"/>
      <c r="P22" s="3216"/>
      <c r="Q22" s="1811"/>
      <c r="R22" s="774"/>
      <c r="S22" s="775"/>
      <c r="T22" s="774"/>
      <c r="U22" s="775"/>
      <c r="V22" s="774"/>
      <c r="W22" s="775"/>
      <c r="X22" s="1814"/>
      <c r="Y22" s="3216"/>
      <c r="Z22" s="1815"/>
      <c r="AA22" s="1812">
        <v>1</v>
      </c>
      <c r="AB22" s="1812">
        <v>1</v>
      </c>
      <c r="AC22" s="1812">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6"/>
      <c r="Q23" s="1811" t="str">
        <f>B23</f>
        <v>环境质量</v>
      </c>
      <c r="R23" s="774" t="s">
        <v>17</v>
      </c>
      <c r="S23" s="775">
        <f>F23</f>
        <v>100</v>
      </c>
      <c r="T23" s="774" t="s">
        <v>17</v>
      </c>
      <c r="U23" s="775">
        <f>H23</f>
        <v>100</v>
      </c>
      <c r="V23" s="774" t="s">
        <v>17</v>
      </c>
      <c r="W23" s="775">
        <f>J23</f>
        <v>100</v>
      </c>
      <c r="X23" s="1814"/>
      <c r="Y23" s="3216"/>
      <c r="Z23" s="1815" t="str">
        <f>Q23</f>
        <v>环境质量</v>
      </c>
      <c r="AA23" s="1812">
        <f t="shared" si="3"/>
        <v>1</v>
      </c>
      <c r="AB23" s="1812">
        <f t="shared" si="4"/>
        <v>1</v>
      </c>
      <c r="AC23" s="1812">
        <f t="shared" si="5"/>
        <v>1</v>
      </c>
    </row>
    <row r="24" spans="1:29" ht="15">
      <c r="A24" s="428"/>
      <c r="B24" s="1385"/>
      <c r="C24" s="447"/>
      <c r="D24" s="448"/>
      <c r="E24" s="2605"/>
      <c r="F24" s="449"/>
      <c r="G24" s="2604"/>
      <c r="H24" s="448"/>
      <c r="I24" s="2605"/>
      <c r="J24" s="448"/>
      <c r="K24" s="615"/>
      <c r="L24" s="1141"/>
      <c r="M24" s="1132"/>
      <c r="N24" s="1132"/>
      <c r="O24" s="1140"/>
      <c r="P24" s="3216"/>
      <c r="Q24" s="1811"/>
      <c r="R24" s="774"/>
      <c r="S24" s="775"/>
      <c r="T24" s="774"/>
      <c r="U24" s="775"/>
      <c r="V24" s="774"/>
      <c r="W24" s="775"/>
      <c r="X24" s="1814"/>
      <c r="Y24" s="3216"/>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6"/>
      <c r="Q25" s="1811">
        <f>B25</f>
        <v>111</v>
      </c>
      <c r="R25" s="774" t="s">
        <v>17</v>
      </c>
      <c r="S25" s="775">
        <f>F25</f>
        <v>100</v>
      </c>
      <c r="T25" s="774" t="s">
        <v>17</v>
      </c>
      <c r="U25" s="775">
        <f>H25</f>
        <v>100</v>
      </c>
      <c r="V25" s="774" t="s">
        <v>17</v>
      </c>
      <c r="W25" s="775">
        <f>J25</f>
        <v>100</v>
      </c>
      <c r="X25" s="1814"/>
      <c r="Y25" s="3216"/>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6"/>
      <c r="Q26" s="1811">
        <f t="shared" ref="Q26:Q40" si="8">B26</f>
        <v>111</v>
      </c>
      <c r="R26" s="774" t="s">
        <v>17</v>
      </c>
      <c r="S26" s="775">
        <f>F26</f>
        <v>100</v>
      </c>
      <c r="T26" s="774" t="s">
        <v>17</v>
      </c>
      <c r="U26" s="775">
        <f>H26</f>
        <v>100</v>
      </c>
      <c r="V26" s="774" t="s">
        <v>17</v>
      </c>
      <c r="W26" s="775">
        <f>J26</f>
        <v>100</v>
      </c>
      <c r="X26" s="1814"/>
      <c r="Y26" s="3216"/>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6"/>
      <c r="Q27" s="1796">
        <f t="shared" si="8"/>
        <v>111</v>
      </c>
      <c r="R27" s="770" t="s">
        <v>17</v>
      </c>
      <c r="S27" s="771">
        <f>F27</f>
        <v>100</v>
      </c>
      <c r="T27" s="770" t="s">
        <v>17</v>
      </c>
      <c r="U27" s="771">
        <f>H27</f>
        <v>100</v>
      </c>
      <c r="V27" s="770" t="s">
        <v>17</v>
      </c>
      <c r="W27" s="771">
        <f>J27</f>
        <v>100</v>
      </c>
      <c r="X27" s="772"/>
      <c r="Y27" s="3216"/>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6"/>
      <c r="Q28" s="1811">
        <f t="shared" si="8"/>
        <v>111</v>
      </c>
      <c r="R28" s="774" t="s">
        <v>17</v>
      </c>
      <c r="S28" s="775">
        <f t="shared" ref="S28:S40" si="9">F28</f>
        <v>100</v>
      </c>
      <c r="T28" s="774" t="s">
        <v>17</v>
      </c>
      <c r="U28" s="775">
        <f t="shared" ref="U28:U40" si="10">H28</f>
        <v>100</v>
      </c>
      <c r="V28" s="774" t="s">
        <v>17</v>
      </c>
      <c r="W28" s="775">
        <f t="shared" ref="W28:W40" si="11">J28</f>
        <v>100</v>
      </c>
      <c r="X28" s="1814"/>
      <c r="Y28" s="3216"/>
      <c r="Z28" s="1815">
        <f t="shared" ref="Z28:Z40" si="12">Q28</f>
        <v>111</v>
      </c>
      <c r="AA28" s="1812">
        <f t="shared" si="3"/>
        <v>1</v>
      </c>
      <c r="AB28" s="1812">
        <f t="shared" si="4"/>
        <v>1</v>
      </c>
      <c r="AC28" s="1812">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239" t="s">
        <v>2563</v>
      </c>
      <c r="Q29" s="1811" t="str">
        <f t="shared" si="8"/>
        <v>建筑类型</v>
      </c>
      <c r="R29" s="774" t="s">
        <v>17</v>
      </c>
      <c r="S29" s="775">
        <f t="shared" si="9"/>
        <v>100</v>
      </c>
      <c r="T29" s="774" t="s">
        <v>17</v>
      </c>
      <c r="U29" s="775">
        <f t="shared" si="10"/>
        <v>100</v>
      </c>
      <c r="V29" s="774" t="s">
        <v>17</v>
      </c>
      <c r="W29" s="775">
        <f t="shared" si="11"/>
        <v>100</v>
      </c>
      <c r="X29" s="1814"/>
      <c r="Y29" s="3220" t="s">
        <v>2563</v>
      </c>
      <c r="Z29" s="1815" t="str">
        <f t="shared" si="12"/>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20"/>
      <c r="Q30" s="776" t="str">
        <f t="shared" si="8"/>
        <v>项目建筑规模</v>
      </c>
      <c r="R30" s="777" t="s">
        <v>17</v>
      </c>
      <c r="S30" s="778" t="e">
        <f t="shared" si="9"/>
        <v>#N/A</v>
      </c>
      <c r="T30" s="777" t="s">
        <v>17</v>
      </c>
      <c r="U30" s="778" t="e">
        <f t="shared" si="10"/>
        <v>#N/A</v>
      </c>
      <c r="V30" s="777" t="s">
        <v>17</v>
      </c>
      <c r="W30" s="778" t="e">
        <f t="shared" si="11"/>
        <v>#N/A</v>
      </c>
      <c r="X30" s="779"/>
      <c r="Y30" s="3220"/>
      <c r="Z30" s="780" t="str">
        <f t="shared" si="12"/>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20"/>
      <c r="Q31" s="1811" t="str">
        <f t="shared" si="8"/>
        <v>建筑结构</v>
      </c>
      <c r="R31" s="774" t="s">
        <v>17</v>
      </c>
      <c r="S31" s="775">
        <f t="shared" si="9"/>
        <v>100</v>
      </c>
      <c r="T31" s="774" t="s">
        <v>17</v>
      </c>
      <c r="U31" s="775">
        <f t="shared" si="10"/>
        <v>100</v>
      </c>
      <c r="V31" s="774" t="s">
        <v>17</v>
      </c>
      <c r="W31" s="775">
        <f t="shared" si="11"/>
        <v>100</v>
      </c>
      <c r="X31" s="1814"/>
      <c r="Y31" s="3220"/>
      <c r="Z31" s="1815" t="str">
        <f t="shared" si="12"/>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20"/>
      <c r="Q32" s="1811" t="str">
        <f t="shared" si="8"/>
        <v>公共部分装修</v>
      </c>
      <c r="R32" s="774" t="s">
        <v>17</v>
      </c>
      <c r="S32" s="775">
        <f t="shared" si="9"/>
        <v>100</v>
      </c>
      <c r="T32" s="774" t="s">
        <v>17</v>
      </c>
      <c r="U32" s="775">
        <f t="shared" si="10"/>
        <v>100</v>
      </c>
      <c r="V32" s="774" t="s">
        <v>17</v>
      </c>
      <c r="W32" s="775">
        <f t="shared" si="11"/>
        <v>100</v>
      </c>
      <c r="X32" s="1814"/>
      <c r="Y32" s="3220"/>
      <c r="Z32" s="1815" t="str">
        <f t="shared" si="12"/>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20"/>
      <c r="Q33" s="1811" t="str">
        <f t="shared" si="8"/>
        <v>成新度</v>
      </c>
      <c r="R33" s="774" t="s">
        <v>17</v>
      </c>
      <c r="S33" s="775" t="e">
        <f t="shared" si="9"/>
        <v>#N/A</v>
      </c>
      <c r="T33" s="774" t="s">
        <v>17</v>
      </c>
      <c r="U33" s="775" t="e">
        <f t="shared" si="10"/>
        <v>#N/A</v>
      </c>
      <c r="V33" s="774" t="s">
        <v>17</v>
      </c>
      <c r="W33" s="775" t="e">
        <f t="shared" si="11"/>
        <v>#N/A</v>
      </c>
      <c r="X33" s="1814"/>
      <c r="Y33" s="3220"/>
      <c r="Z33" s="1815" t="str">
        <f t="shared" si="12"/>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20"/>
      <c r="Q34" s="1796" t="str">
        <f t="shared" si="8"/>
        <v>物业管理</v>
      </c>
      <c r="R34" s="770" t="s">
        <v>17</v>
      </c>
      <c r="S34" s="771">
        <f t="shared" si="9"/>
        <v>100</v>
      </c>
      <c r="T34" s="770" t="s">
        <v>17</v>
      </c>
      <c r="U34" s="771">
        <f t="shared" si="10"/>
        <v>100</v>
      </c>
      <c r="V34" s="770" t="s">
        <v>17</v>
      </c>
      <c r="W34" s="771">
        <f t="shared" si="11"/>
        <v>100</v>
      </c>
      <c r="X34" s="772"/>
      <c r="Y34" s="3220"/>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20" t="s">
        <v>2563</v>
      </c>
      <c r="Q35" s="1811" t="str">
        <f t="shared" si="8"/>
        <v>市政基础设施</v>
      </c>
      <c r="R35" s="774" t="s">
        <v>17</v>
      </c>
      <c r="S35" s="775">
        <f t="shared" si="9"/>
        <v>100</v>
      </c>
      <c r="T35" s="774" t="s">
        <v>17</v>
      </c>
      <c r="U35" s="775">
        <f t="shared" si="10"/>
        <v>100</v>
      </c>
      <c r="V35" s="774" t="s">
        <v>17</v>
      </c>
      <c r="W35" s="775">
        <f t="shared" si="11"/>
        <v>100</v>
      </c>
      <c r="X35" s="1814"/>
      <c r="Y35" s="3220" t="s">
        <v>2563</v>
      </c>
      <c r="Z35" s="1815" t="str">
        <f t="shared" si="12"/>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20"/>
      <c r="Q36" s="1811" t="str">
        <f t="shared" si="8"/>
        <v>内部装修</v>
      </c>
      <c r="R36" s="774" t="s">
        <v>17</v>
      </c>
      <c r="S36" s="775">
        <f t="shared" si="9"/>
        <v>100</v>
      </c>
      <c r="T36" s="774" t="s">
        <v>17</v>
      </c>
      <c r="U36" s="775">
        <f t="shared" si="10"/>
        <v>100</v>
      </c>
      <c r="V36" s="774" t="s">
        <v>17</v>
      </c>
      <c r="W36" s="775">
        <f t="shared" si="11"/>
        <v>100</v>
      </c>
      <c r="X36" s="1814"/>
      <c r="Y36" s="3220"/>
      <c r="Z36" s="1815" t="str">
        <f t="shared" si="12"/>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20"/>
      <c r="Q37" s="1811" t="str">
        <f t="shared" si="8"/>
        <v>内部装修状况</v>
      </c>
      <c r="R37" s="774" t="s">
        <v>17</v>
      </c>
      <c r="S37" s="775">
        <f t="shared" si="9"/>
        <v>100</v>
      </c>
      <c r="T37" s="774" t="s">
        <v>17</v>
      </c>
      <c r="U37" s="775">
        <f t="shared" si="10"/>
        <v>100</v>
      </c>
      <c r="V37" s="774" t="s">
        <v>17</v>
      </c>
      <c r="W37" s="775">
        <f t="shared" si="11"/>
        <v>100</v>
      </c>
      <c r="X37" s="1814"/>
      <c r="Y37" s="3220"/>
      <c r="Z37" s="1815" t="str">
        <f t="shared" si="12"/>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20"/>
      <c r="Q38" s="776">
        <f t="shared" si="8"/>
        <v>111</v>
      </c>
      <c r="R38" s="777" t="s">
        <v>17</v>
      </c>
      <c r="S38" s="778">
        <f t="shared" si="9"/>
        <v>100</v>
      </c>
      <c r="T38" s="777" t="s">
        <v>17</v>
      </c>
      <c r="U38" s="778">
        <f t="shared" si="10"/>
        <v>100</v>
      </c>
      <c r="V38" s="777" t="s">
        <v>17</v>
      </c>
      <c r="W38" s="778">
        <f t="shared" si="11"/>
        <v>100</v>
      </c>
      <c r="X38" s="779"/>
      <c r="Y38" s="3220"/>
      <c r="Z38" s="780">
        <f t="shared" si="12"/>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20"/>
      <c r="Q39" s="1811">
        <f t="shared" si="8"/>
        <v>111</v>
      </c>
      <c r="R39" s="774" t="s">
        <v>17</v>
      </c>
      <c r="S39" s="775">
        <f t="shared" si="9"/>
        <v>100</v>
      </c>
      <c r="T39" s="774" t="s">
        <v>17</v>
      </c>
      <c r="U39" s="775">
        <f t="shared" si="10"/>
        <v>100</v>
      </c>
      <c r="V39" s="774" t="s">
        <v>17</v>
      </c>
      <c r="W39" s="775">
        <f t="shared" si="11"/>
        <v>100</v>
      </c>
      <c r="X39" s="1814"/>
      <c r="Y39" s="3220"/>
      <c r="Z39" s="1815">
        <f t="shared" si="12"/>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1"/>
      <c r="Q40" s="1811">
        <f t="shared" si="8"/>
        <v>111</v>
      </c>
      <c r="R40" s="774" t="s">
        <v>17</v>
      </c>
      <c r="S40" s="775">
        <f t="shared" si="9"/>
        <v>100</v>
      </c>
      <c r="T40" s="774" t="s">
        <v>17</v>
      </c>
      <c r="U40" s="775">
        <f t="shared" si="10"/>
        <v>100</v>
      </c>
      <c r="V40" s="774" t="s">
        <v>17</v>
      </c>
      <c r="W40" s="775">
        <f t="shared" si="11"/>
        <v>100</v>
      </c>
      <c r="X40" s="1814"/>
      <c r="Y40" s="3221"/>
      <c r="Z40" s="1815">
        <f t="shared" si="12"/>
        <v>111</v>
      </c>
      <c r="AA40" s="1812">
        <f t="shared" si="3"/>
        <v>1</v>
      </c>
      <c r="AB40" s="1812">
        <f t="shared" si="4"/>
        <v>1</v>
      </c>
      <c r="AC40" s="1812">
        <f t="shared" si="5"/>
        <v>1</v>
      </c>
    </row>
    <row r="41" spans="1:29" ht="15">
      <c r="A41" s="479" t="s">
        <v>2575</v>
      </c>
      <c r="B41" s="480"/>
      <c r="C41" s="1408" t="s">
        <v>1</v>
      </c>
      <c r="D41" s="1409"/>
      <c r="E41" s="1410"/>
      <c r="F41" s="1411"/>
      <c r="G41" s="1412"/>
      <c r="H41" s="1413"/>
      <c r="I41" s="1410"/>
      <c r="J41" s="1413"/>
      <c r="K41" s="783"/>
      <c r="L41" s="1144"/>
      <c r="M41" s="1145"/>
      <c r="N41" s="1132"/>
      <c r="O41" s="1145"/>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2668</v>
      </c>
      <c r="B43" s="493"/>
      <c r="C43" s="1418" t="e">
        <f>R43</f>
        <v>#DIV/0!</v>
      </c>
      <c r="D43" s="1418"/>
      <c r="E43" s="1418"/>
      <c r="F43" s="1418"/>
      <c r="G43" s="1418"/>
      <c r="H43" s="1418"/>
      <c r="I43" s="1418"/>
      <c r="J43" s="1418"/>
      <c r="K43" s="785"/>
      <c r="L43" s="1144"/>
      <c r="M43" s="1145"/>
      <c r="N43" s="1145"/>
      <c r="O43" s="1145"/>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2672</v>
      </c>
      <c r="B51" s="759"/>
      <c r="C51" s="764"/>
      <c r="D51" s="764"/>
      <c r="E51" s="764"/>
      <c r="F51" s="765"/>
      <c r="G51" s="765"/>
      <c r="H51" s="764"/>
      <c r="I51" s="764"/>
      <c r="J51" s="764"/>
      <c r="K51" s="1161"/>
      <c r="L51" s="1162"/>
      <c r="M51" s="1160"/>
      <c r="N51" s="1160"/>
      <c r="O51" s="1160"/>
      <c r="P51" s="503"/>
      <c r="Q51" s="504"/>
    </row>
    <row r="52" spans="1:17" s="508" customFormat="1" ht="15">
      <c r="A52" s="505" t="s">
        <v>2546</v>
      </c>
      <c r="B52" s="506"/>
      <c r="C52" s="1575" t="str">
        <f>YEAR(C7)&amp;"-"&amp;MONTH(C7)</f>
        <v>2018-12</v>
      </c>
      <c r="D52" s="1576">
        <f>EDATE(C52,-1)</f>
        <v>43405</v>
      </c>
      <c r="E52" s="1576">
        <f t="shared" ref="E52:O52" si="13">EDATE(D52,-1)</f>
        <v>43374</v>
      </c>
      <c r="F52" s="1576">
        <f t="shared" si="13"/>
        <v>43344</v>
      </c>
      <c r="G52" s="1576">
        <f t="shared" si="13"/>
        <v>43313</v>
      </c>
      <c r="H52" s="1576">
        <f t="shared" si="13"/>
        <v>43282</v>
      </c>
      <c r="I52" s="1576">
        <f t="shared" si="13"/>
        <v>43252</v>
      </c>
      <c r="J52" s="1576">
        <f t="shared" si="13"/>
        <v>43221</v>
      </c>
      <c r="K52" s="1576">
        <f t="shared" si="13"/>
        <v>43191</v>
      </c>
      <c r="L52" s="1576">
        <f t="shared" si="13"/>
        <v>43160</v>
      </c>
      <c r="M52" s="1576">
        <f t="shared" si="13"/>
        <v>43132</v>
      </c>
      <c r="N52" s="1576">
        <f t="shared" si="13"/>
        <v>43101</v>
      </c>
      <c r="O52" s="1576">
        <f t="shared" si="13"/>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6"/>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4"/>
      <c r="O89" s="1154"/>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6"/>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4"/>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1"/>
      <c r="M6" s="1132"/>
      <c r="N6" s="1132"/>
      <c r="O6" s="1132"/>
      <c r="P6" s="3204"/>
      <c r="Q6" s="3205"/>
      <c r="R6" s="3185"/>
      <c r="S6" s="3186"/>
      <c r="T6" s="3206"/>
      <c r="U6" s="3207"/>
      <c r="V6" s="3208"/>
      <c r="W6" s="3208"/>
      <c r="X6" s="1814"/>
      <c r="Y6" s="3206"/>
      <c r="Z6" s="3207"/>
      <c r="AA6" s="3180"/>
      <c r="AB6" s="3180"/>
      <c r="AC6" s="3180"/>
    </row>
    <row r="7" spans="1:29" s="117" customFormat="1" ht="15.75" thickBot="1">
      <c r="A7" s="408" t="s">
        <v>2546</v>
      </c>
      <c r="B7" s="409"/>
      <c r="C7" s="410">
        <f>'数据-取费表'!B2</f>
        <v>43458</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1" t="s">
        <v>2547</v>
      </c>
      <c r="Q7" s="3209"/>
      <c r="R7" s="770" t="s">
        <v>17</v>
      </c>
      <c r="S7" s="771">
        <f t="shared" ref="S7:S14" si="0">F7</f>
        <v>0</v>
      </c>
      <c r="T7" s="770" t="s">
        <v>17</v>
      </c>
      <c r="U7" s="771">
        <f t="shared" ref="U7:U14" si="1">H7</f>
        <v>0</v>
      </c>
      <c r="V7" s="770" t="s">
        <v>17</v>
      </c>
      <c r="W7" s="771">
        <f t="shared" ref="W7:W14"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13" t="s">
        <v>2553</v>
      </c>
      <c r="Q9" s="1796" t="str">
        <f t="shared" ref="Q9:Q14" si="6">B9</f>
        <v>用途</v>
      </c>
      <c r="R9" s="770" t="s">
        <v>17</v>
      </c>
      <c r="S9" s="771">
        <f t="shared" si="0"/>
        <v>100</v>
      </c>
      <c r="T9" s="770" t="s">
        <v>17</v>
      </c>
      <c r="U9" s="771">
        <f t="shared" si="1"/>
        <v>100</v>
      </c>
      <c r="V9" s="770" t="s">
        <v>17</v>
      </c>
      <c r="W9" s="771">
        <f t="shared" si="2"/>
        <v>100</v>
      </c>
      <c r="X9" s="772"/>
      <c r="Y9" s="302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13"/>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13"/>
      <c r="Q11" s="1796">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13"/>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13"/>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5" t="s">
        <v>2558</v>
      </c>
      <c r="Q14" s="1811" t="str">
        <f t="shared" si="6"/>
        <v>交通便捷度</v>
      </c>
      <c r="R14" s="774" t="s">
        <v>17</v>
      </c>
      <c r="S14" s="775">
        <f t="shared" si="0"/>
        <v>100</v>
      </c>
      <c r="T14" s="774" t="s">
        <v>17</v>
      </c>
      <c r="U14" s="775">
        <f t="shared" si="1"/>
        <v>100</v>
      </c>
      <c r="V14" s="774" t="s">
        <v>17</v>
      </c>
      <c r="W14" s="775">
        <f t="shared" si="2"/>
        <v>100</v>
      </c>
      <c r="X14" s="1814"/>
      <c r="Y14" s="3215"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16"/>
      <c r="Q15" s="1811"/>
      <c r="R15" s="774"/>
      <c r="S15" s="775"/>
      <c r="T15" s="774"/>
      <c r="U15" s="775"/>
      <c r="V15" s="774"/>
      <c r="W15" s="775"/>
      <c r="X15" s="1814"/>
      <c r="Y15" s="3216"/>
      <c r="Z15" s="1815"/>
      <c r="AA15" s="1812">
        <v>1</v>
      </c>
      <c r="AB15" s="1812">
        <v>1</v>
      </c>
      <c r="AC15" s="1812">
        <v>1</v>
      </c>
    </row>
    <row r="16" spans="1:29" ht="42.75">
      <c r="A16" s="404"/>
      <c r="B16" s="631" t="s">
        <v>2686</v>
      </c>
      <c r="C16" s="2607"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6"/>
      <c r="Q16" s="1811" t="str">
        <f>B16</f>
        <v>公共配套设施</v>
      </c>
      <c r="R16" s="774" t="s">
        <v>17</v>
      </c>
      <c r="S16" s="775">
        <f>F16</f>
        <v>100</v>
      </c>
      <c r="T16" s="774" t="s">
        <v>17</v>
      </c>
      <c r="U16" s="775">
        <f>H16</f>
        <v>100</v>
      </c>
      <c r="V16" s="774" t="s">
        <v>17</v>
      </c>
      <c r="W16" s="775">
        <f>J16</f>
        <v>100</v>
      </c>
      <c r="X16" s="1814"/>
      <c r="Y16" s="3216"/>
      <c r="Z16" s="1815" t="str">
        <f>Q16</f>
        <v>公共配套设施</v>
      </c>
      <c r="AA16" s="1812">
        <f t="shared" si="3"/>
        <v>1</v>
      </c>
      <c r="AB16" s="1812">
        <f t="shared" si="4"/>
        <v>1</v>
      </c>
      <c r="AC16" s="1812">
        <f t="shared" si="5"/>
        <v>1</v>
      </c>
    </row>
    <row r="17" spans="1:29" ht="15">
      <c r="A17" s="404"/>
      <c r="B17" s="632"/>
      <c r="C17" s="2608"/>
      <c r="D17" s="448"/>
      <c r="E17" s="447"/>
      <c r="F17" s="449"/>
      <c r="G17" s="447"/>
      <c r="H17" s="448"/>
      <c r="I17" s="447"/>
      <c r="J17" s="448"/>
      <c r="K17" s="615"/>
      <c r="L17" s="1141"/>
      <c r="M17" s="1132"/>
      <c r="N17" s="1132"/>
      <c r="O17" s="1132"/>
      <c r="P17" s="3216"/>
      <c r="Q17" s="1811"/>
      <c r="R17" s="774"/>
      <c r="S17" s="775"/>
      <c r="T17" s="774"/>
      <c r="U17" s="775"/>
      <c r="V17" s="774"/>
      <c r="W17" s="775"/>
      <c r="X17" s="1814"/>
      <c r="Y17" s="3216"/>
      <c r="Z17" s="1815"/>
      <c r="AA17" s="1812">
        <v>1</v>
      </c>
      <c r="AB17" s="1812">
        <v>1</v>
      </c>
      <c r="AC17" s="1812">
        <v>1</v>
      </c>
    </row>
    <row r="18" spans="1:29" ht="28.5">
      <c r="A18" s="404"/>
      <c r="B18" s="633" t="s">
        <v>2687</v>
      </c>
      <c r="C18" s="2607"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6"/>
      <c r="Q18" s="1811" t="str">
        <f>B18</f>
        <v>基础设施水平</v>
      </c>
      <c r="R18" s="774" t="s">
        <v>17</v>
      </c>
      <c r="S18" s="775">
        <f>F18</f>
        <v>100</v>
      </c>
      <c r="T18" s="774" t="s">
        <v>17</v>
      </c>
      <c r="U18" s="775">
        <f>H18</f>
        <v>100</v>
      </c>
      <c r="V18" s="774" t="s">
        <v>17</v>
      </c>
      <c r="W18" s="775">
        <f>J18</f>
        <v>100</v>
      </c>
      <c r="X18" s="1814"/>
      <c r="Y18" s="3216"/>
      <c r="Z18" s="1815" t="str">
        <f>Q18</f>
        <v>基础设施水平</v>
      </c>
      <c r="AA18" s="1812">
        <f>D18/F18</f>
        <v>1</v>
      </c>
      <c r="AB18" s="1812">
        <f>D18/H18</f>
        <v>1</v>
      </c>
      <c r="AC18" s="1812">
        <f>D18/J18</f>
        <v>1</v>
      </c>
    </row>
    <row r="19" spans="1:29" ht="15">
      <c r="A19" s="404"/>
      <c r="B19" s="633"/>
      <c r="C19" s="2608"/>
      <c r="D19" s="450"/>
      <c r="E19" s="2608"/>
      <c r="F19" s="453"/>
      <c r="G19" s="2608"/>
      <c r="H19" s="448"/>
      <c r="I19" s="447"/>
      <c r="J19" s="448"/>
      <c r="K19" s="1384"/>
      <c r="L19" s="1141"/>
      <c r="M19" s="1132"/>
      <c r="N19" s="1132"/>
      <c r="O19" s="1132"/>
      <c r="P19" s="3216"/>
      <c r="Q19" s="1811"/>
      <c r="R19" s="774"/>
      <c r="S19" s="775"/>
      <c r="T19" s="774"/>
      <c r="U19" s="775"/>
      <c r="V19" s="774"/>
      <c r="W19" s="775"/>
      <c r="X19" s="1814"/>
      <c r="Y19" s="3216"/>
      <c r="Z19" s="1815"/>
      <c r="AA19" s="1812">
        <v>1</v>
      </c>
      <c r="AB19" s="1812">
        <v>1</v>
      </c>
      <c r="AC19" s="1812">
        <v>1</v>
      </c>
    </row>
    <row r="20" spans="1:29" ht="57">
      <c r="A20" s="404"/>
      <c r="B20" s="631" t="s">
        <v>2708</v>
      </c>
      <c r="C20" s="2607"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6"/>
      <c r="Q20" s="1811" t="str">
        <f>B20</f>
        <v>自然及人文环境</v>
      </c>
      <c r="R20" s="774" t="s">
        <v>17</v>
      </c>
      <c r="S20" s="775">
        <f>F20</f>
        <v>100</v>
      </c>
      <c r="T20" s="774" t="s">
        <v>17</v>
      </c>
      <c r="U20" s="775">
        <f>H20</f>
        <v>100</v>
      </c>
      <c r="V20" s="774" t="s">
        <v>17</v>
      </c>
      <c r="W20" s="775">
        <f>J20</f>
        <v>100</v>
      </c>
      <c r="X20" s="1814"/>
      <c r="Y20" s="3216"/>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16"/>
      <c r="Q21" s="1811"/>
      <c r="R21" s="774"/>
      <c r="S21" s="775"/>
      <c r="T21" s="774"/>
      <c r="U21" s="775"/>
      <c r="V21" s="774"/>
      <c r="W21" s="775"/>
      <c r="X21" s="1814"/>
      <c r="Y21" s="3216"/>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6"/>
      <c r="Q22" s="1811" t="str">
        <f>B22</f>
        <v>楼层</v>
      </c>
      <c r="R22" s="774" t="s">
        <v>17</v>
      </c>
      <c r="S22" s="775">
        <f>F22</f>
        <v>100</v>
      </c>
      <c r="T22" s="774" t="s">
        <v>17</v>
      </c>
      <c r="U22" s="775">
        <f>H22</f>
        <v>100</v>
      </c>
      <c r="V22" s="774" t="s">
        <v>17</v>
      </c>
      <c r="W22" s="775">
        <f>J22</f>
        <v>100</v>
      </c>
      <c r="X22" s="1814"/>
      <c r="Y22" s="3216"/>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6"/>
      <c r="Q23" s="1811">
        <f>B23</f>
        <v>111</v>
      </c>
      <c r="R23" s="774" t="s">
        <v>17</v>
      </c>
      <c r="S23" s="775">
        <f>F23</f>
        <v>100</v>
      </c>
      <c r="T23" s="774" t="s">
        <v>17</v>
      </c>
      <c r="U23" s="775">
        <f>H23</f>
        <v>100</v>
      </c>
      <c r="V23" s="774" t="s">
        <v>17</v>
      </c>
      <c r="W23" s="775">
        <f>J23</f>
        <v>100</v>
      </c>
      <c r="X23" s="1814"/>
      <c r="Y23" s="3216"/>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6"/>
      <c r="Q24" s="1811">
        <f t="shared" ref="Q24:Q36" si="8">B24</f>
        <v>111</v>
      </c>
      <c r="R24" s="774" t="s">
        <v>17</v>
      </c>
      <c r="S24" s="775">
        <f>F24</f>
        <v>100</v>
      </c>
      <c r="T24" s="774" t="s">
        <v>17</v>
      </c>
      <c r="U24" s="775">
        <f>H24</f>
        <v>100</v>
      </c>
      <c r="V24" s="774" t="s">
        <v>17</v>
      </c>
      <c r="W24" s="775">
        <f>J24</f>
        <v>100</v>
      </c>
      <c r="X24" s="1814"/>
      <c r="Y24" s="3216"/>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6"/>
      <c r="Q25" s="1796">
        <f t="shared" si="8"/>
        <v>111</v>
      </c>
      <c r="R25" s="770" t="s">
        <v>17</v>
      </c>
      <c r="S25" s="771">
        <f>F25</f>
        <v>100</v>
      </c>
      <c r="T25" s="770" t="s">
        <v>17</v>
      </c>
      <c r="U25" s="771">
        <f>H25</f>
        <v>100</v>
      </c>
      <c r="V25" s="770" t="s">
        <v>17</v>
      </c>
      <c r="W25" s="771">
        <f>J25</f>
        <v>100</v>
      </c>
      <c r="X25" s="772"/>
      <c r="Y25" s="3216"/>
      <c r="Z25" s="55">
        <f>Q25</f>
        <v>111</v>
      </c>
      <c r="AA25" s="1812">
        <f>D25/F25</f>
        <v>1</v>
      </c>
      <c r="AB25" s="1812">
        <f>D25/H25</f>
        <v>1</v>
      </c>
      <c r="AC25" s="1812">
        <f>D25/J25</f>
        <v>1</v>
      </c>
    </row>
    <row r="26" spans="1:29" ht="1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9" t="s">
        <v>2563</v>
      </c>
      <c r="Q26" s="1811" t="str">
        <f t="shared" si="8"/>
        <v>配套类型</v>
      </c>
      <c r="R26" s="774" t="s">
        <v>17</v>
      </c>
      <c r="S26" s="775">
        <f t="shared" ref="S26:S36" si="9">F26</f>
        <v>100</v>
      </c>
      <c r="T26" s="774" t="s">
        <v>17</v>
      </c>
      <c r="U26" s="775">
        <f t="shared" ref="U26:U36" si="10">H26</f>
        <v>100</v>
      </c>
      <c r="V26" s="774" t="s">
        <v>17</v>
      </c>
      <c r="W26" s="775">
        <f t="shared" ref="W26:W36" si="11">J26</f>
        <v>100</v>
      </c>
      <c r="X26" s="1814"/>
      <c r="Y26" s="3220" t="s">
        <v>2563</v>
      </c>
      <c r="Z26" s="1815" t="str">
        <f t="shared" ref="Z26:Z36" si="12">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20"/>
      <c r="Q27" s="776" t="str">
        <f t="shared" si="8"/>
        <v>项目停车位配比</v>
      </c>
      <c r="R27" s="777" t="s">
        <v>17</v>
      </c>
      <c r="S27" s="778">
        <f t="shared" si="9"/>
        <v>100</v>
      </c>
      <c r="T27" s="777" t="s">
        <v>17</v>
      </c>
      <c r="U27" s="778">
        <f t="shared" si="10"/>
        <v>100</v>
      </c>
      <c r="V27" s="777" t="s">
        <v>17</v>
      </c>
      <c r="W27" s="778">
        <f t="shared" si="11"/>
        <v>100</v>
      </c>
      <c r="X27" s="779"/>
      <c r="Y27" s="3220"/>
      <c r="Z27" s="780" t="str">
        <f t="shared" si="12"/>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20"/>
      <c r="Q28" s="1811" t="str">
        <f t="shared" si="8"/>
        <v>公共部分装修</v>
      </c>
      <c r="R28" s="774" t="s">
        <v>17</v>
      </c>
      <c r="S28" s="775">
        <f t="shared" si="9"/>
        <v>100</v>
      </c>
      <c r="T28" s="774" t="s">
        <v>17</v>
      </c>
      <c r="U28" s="775">
        <f t="shared" si="10"/>
        <v>100</v>
      </c>
      <c r="V28" s="774" t="s">
        <v>17</v>
      </c>
      <c r="W28" s="775">
        <f t="shared" si="11"/>
        <v>100</v>
      </c>
      <c r="X28" s="1814"/>
      <c r="Y28" s="3220"/>
      <c r="Z28" s="1815" t="str">
        <f t="shared" si="12"/>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20"/>
      <c r="Q29" s="1811" t="str">
        <f t="shared" si="8"/>
        <v>成新率</v>
      </c>
      <c r="R29" s="774" t="s">
        <v>17</v>
      </c>
      <c r="S29" s="775" t="e">
        <f t="shared" si="9"/>
        <v>#N/A</v>
      </c>
      <c r="T29" s="774" t="s">
        <v>17</v>
      </c>
      <c r="U29" s="775" t="e">
        <f t="shared" si="10"/>
        <v>#N/A</v>
      </c>
      <c r="V29" s="774" t="s">
        <v>17</v>
      </c>
      <c r="W29" s="775" t="e">
        <f t="shared" si="11"/>
        <v>#N/A</v>
      </c>
      <c r="X29" s="1814"/>
      <c r="Y29" s="3220"/>
      <c r="Z29" s="1815" t="str">
        <f t="shared" si="12"/>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20"/>
      <c r="Q30" s="1811" t="str">
        <f t="shared" si="8"/>
        <v>物业等级</v>
      </c>
      <c r="R30" s="774" t="s">
        <v>17</v>
      </c>
      <c r="S30" s="775">
        <f t="shared" si="9"/>
        <v>100</v>
      </c>
      <c r="T30" s="774" t="s">
        <v>17</v>
      </c>
      <c r="U30" s="775">
        <f t="shared" si="10"/>
        <v>100</v>
      </c>
      <c r="V30" s="774" t="s">
        <v>17</v>
      </c>
      <c r="W30" s="775">
        <f t="shared" si="11"/>
        <v>100</v>
      </c>
      <c r="X30" s="1814"/>
      <c r="Y30" s="3220"/>
      <c r="Z30" s="1815" t="str">
        <f t="shared" si="12"/>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20"/>
      <c r="Q31" s="1796" t="str">
        <f t="shared" si="8"/>
        <v>停车位面积</v>
      </c>
      <c r="R31" s="770" t="s">
        <v>17</v>
      </c>
      <c r="S31" s="771" t="e">
        <f t="shared" si="9"/>
        <v>#N/A</v>
      </c>
      <c r="T31" s="770" t="s">
        <v>17</v>
      </c>
      <c r="U31" s="771" t="e">
        <f t="shared" si="10"/>
        <v>#N/A</v>
      </c>
      <c r="V31" s="770" t="s">
        <v>17</v>
      </c>
      <c r="W31" s="771" t="e">
        <f t="shared" si="11"/>
        <v>#N/A</v>
      </c>
      <c r="X31" s="772"/>
      <c r="Y31" s="3220"/>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20" t="s">
        <v>2563</v>
      </c>
      <c r="Q32" s="1811" t="str">
        <f t="shared" si="8"/>
        <v>车位类型</v>
      </c>
      <c r="R32" s="774" t="s">
        <v>17</v>
      </c>
      <c r="S32" s="775">
        <f t="shared" si="9"/>
        <v>100</v>
      </c>
      <c r="T32" s="774" t="s">
        <v>17</v>
      </c>
      <c r="U32" s="775">
        <f t="shared" si="10"/>
        <v>100</v>
      </c>
      <c r="V32" s="774" t="s">
        <v>17</v>
      </c>
      <c r="W32" s="775">
        <f t="shared" si="11"/>
        <v>100</v>
      </c>
      <c r="X32" s="1814"/>
      <c r="Y32" s="3220" t="s">
        <v>2563</v>
      </c>
      <c r="Z32" s="1815" t="str">
        <f t="shared" si="12"/>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20"/>
      <c r="Q33" s="1811" t="str">
        <f t="shared" si="8"/>
        <v>是否直接入户</v>
      </c>
      <c r="R33" s="774" t="s">
        <v>17</v>
      </c>
      <c r="S33" s="775">
        <f t="shared" si="9"/>
        <v>100</v>
      </c>
      <c r="T33" s="774" t="s">
        <v>17</v>
      </c>
      <c r="U33" s="775">
        <f t="shared" si="10"/>
        <v>100</v>
      </c>
      <c r="V33" s="774" t="s">
        <v>17</v>
      </c>
      <c r="W33" s="775">
        <f t="shared" si="11"/>
        <v>100</v>
      </c>
      <c r="X33" s="1814"/>
      <c r="Y33" s="3220"/>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20"/>
      <c r="Q34" s="1811">
        <f t="shared" si="8"/>
        <v>111</v>
      </c>
      <c r="R34" s="774" t="s">
        <v>17</v>
      </c>
      <c r="S34" s="775">
        <f t="shared" si="9"/>
        <v>100</v>
      </c>
      <c r="T34" s="774" t="s">
        <v>17</v>
      </c>
      <c r="U34" s="775">
        <f t="shared" si="10"/>
        <v>100</v>
      </c>
      <c r="V34" s="774" t="s">
        <v>17</v>
      </c>
      <c r="W34" s="775">
        <f t="shared" si="11"/>
        <v>100</v>
      </c>
      <c r="X34" s="1814"/>
      <c r="Y34" s="3220"/>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20"/>
      <c r="Q35" s="776">
        <f t="shared" si="8"/>
        <v>111</v>
      </c>
      <c r="R35" s="777" t="s">
        <v>17</v>
      </c>
      <c r="S35" s="778">
        <f t="shared" si="9"/>
        <v>100</v>
      </c>
      <c r="T35" s="777" t="s">
        <v>17</v>
      </c>
      <c r="U35" s="778">
        <f t="shared" si="10"/>
        <v>100</v>
      </c>
      <c r="V35" s="777" t="s">
        <v>17</v>
      </c>
      <c r="W35" s="778">
        <f t="shared" si="11"/>
        <v>100</v>
      </c>
      <c r="X35" s="779"/>
      <c r="Y35" s="3220"/>
      <c r="Z35" s="780">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20"/>
      <c r="Q36" s="1811">
        <f t="shared" si="8"/>
        <v>111</v>
      </c>
      <c r="R36" s="774" t="s">
        <v>17</v>
      </c>
      <c r="S36" s="775">
        <f t="shared" si="9"/>
        <v>100</v>
      </c>
      <c r="T36" s="774" t="s">
        <v>17</v>
      </c>
      <c r="U36" s="775">
        <f t="shared" si="10"/>
        <v>100</v>
      </c>
      <c r="V36" s="774" t="s">
        <v>17</v>
      </c>
      <c r="W36" s="775">
        <f t="shared" si="11"/>
        <v>100</v>
      </c>
      <c r="X36" s="1814"/>
      <c r="Y36" s="3220"/>
      <c r="Z36" s="1815">
        <f t="shared" si="12"/>
        <v>111</v>
      </c>
      <c r="AA36" s="1812">
        <f t="shared" si="3"/>
        <v>1</v>
      </c>
      <c r="AB36" s="1812">
        <f t="shared" si="4"/>
        <v>1</v>
      </c>
      <c r="AC36" s="1812">
        <f t="shared" si="5"/>
        <v>1</v>
      </c>
    </row>
    <row r="37" spans="1:29" ht="15">
      <c r="A37" s="479" t="s">
        <v>2718</v>
      </c>
      <c r="B37" s="2695" t="s">
        <v>2719</v>
      </c>
      <c r="C37" s="1408" t="s">
        <v>1</v>
      </c>
      <c r="D37" s="1409"/>
      <c r="E37" s="1410"/>
      <c r="F37" s="1411"/>
      <c r="G37" s="1412"/>
      <c r="H37" s="1413"/>
      <c r="I37" s="1410"/>
      <c r="J37" s="1413"/>
      <c r="K37" s="619"/>
      <c r="L37" s="1144"/>
      <c r="M37" s="1145"/>
      <c r="N37" s="1132"/>
      <c r="O37" s="1145"/>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2721</v>
      </c>
      <c r="B39" s="493"/>
      <c r="C39" s="1418" t="e">
        <f>R39</f>
        <v>#DIV/0!</v>
      </c>
      <c r="D39" s="1418"/>
      <c r="E39" s="1418"/>
      <c r="F39" s="1418"/>
      <c r="G39" s="1418"/>
      <c r="H39" s="1418"/>
      <c r="I39" s="1418"/>
      <c r="J39" s="1418"/>
      <c r="K39" s="621"/>
      <c r="L39" s="1144"/>
      <c r="M39" s="1145"/>
      <c r="N39" s="1145"/>
      <c r="O39" s="1145"/>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2726</v>
      </c>
      <c r="B48" s="506"/>
      <c r="C48" s="1575" t="str">
        <f>YEAR(C7)&amp;"-"&amp;MONTH(C7)</f>
        <v>2018-12</v>
      </c>
      <c r="D48" s="1576">
        <f>EDATE(C48,-1)</f>
        <v>43405</v>
      </c>
      <c r="E48" s="1576">
        <f t="shared" ref="E48:O48" si="13">EDATE(D48,-1)</f>
        <v>43374</v>
      </c>
      <c r="F48" s="1576">
        <f t="shared" si="13"/>
        <v>43344</v>
      </c>
      <c r="G48" s="1576">
        <f t="shared" si="13"/>
        <v>43313</v>
      </c>
      <c r="H48" s="1576">
        <f t="shared" si="13"/>
        <v>43282</v>
      </c>
      <c r="I48" s="1576">
        <f t="shared" si="13"/>
        <v>43252</v>
      </c>
      <c r="J48" s="1576">
        <f t="shared" si="13"/>
        <v>43221</v>
      </c>
      <c r="K48" s="1576">
        <f t="shared" si="13"/>
        <v>43191</v>
      </c>
      <c r="L48" s="1576">
        <f t="shared" si="13"/>
        <v>43160</v>
      </c>
      <c r="M48" s="1576">
        <f t="shared" si="13"/>
        <v>43132</v>
      </c>
      <c r="N48" s="1576">
        <f t="shared" si="13"/>
        <v>43101</v>
      </c>
      <c r="O48" s="1576">
        <f t="shared" si="13"/>
        <v>43070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1"/>
      <c r="M6" s="1132"/>
      <c r="N6" s="1132"/>
      <c r="O6" s="1132"/>
      <c r="P6" s="3204"/>
      <c r="Q6" s="3205"/>
      <c r="R6" s="3185"/>
      <c r="S6" s="3186"/>
      <c r="T6" s="3206"/>
      <c r="U6" s="3207"/>
      <c r="V6" s="3208"/>
      <c r="W6" s="3208"/>
      <c r="X6" s="1814"/>
      <c r="Y6" s="3206"/>
      <c r="Z6" s="3207"/>
      <c r="AA6" s="3180"/>
      <c r="AB6" s="3180"/>
      <c r="AC6" s="3180"/>
    </row>
    <row r="7" spans="1:29" s="117" customFormat="1" ht="15.75" thickBot="1">
      <c r="A7" s="408" t="s">
        <v>2546</v>
      </c>
      <c r="B7" s="409"/>
      <c r="C7" s="410">
        <f>'数据-取费表'!B2</f>
        <v>43458</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181" t="s">
        <v>2547</v>
      </c>
      <c r="Q7" s="3209"/>
      <c r="R7" s="770" t="s">
        <v>17</v>
      </c>
      <c r="S7" s="771">
        <f t="shared" ref="S7:S14" si="0">F7</f>
        <v>0</v>
      </c>
      <c r="T7" s="770" t="s">
        <v>17</v>
      </c>
      <c r="U7" s="771">
        <f t="shared" ref="U7:U14" si="1">H7</f>
        <v>0</v>
      </c>
      <c r="V7" s="770" t="s">
        <v>17</v>
      </c>
      <c r="W7" s="771">
        <f t="shared" ref="W7:W14"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13" t="s">
        <v>2553</v>
      </c>
      <c r="Q9" s="1796" t="str">
        <f t="shared" ref="Q9:Q14" si="6">B9</f>
        <v>用途</v>
      </c>
      <c r="R9" s="770" t="s">
        <v>17</v>
      </c>
      <c r="S9" s="771">
        <f t="shared" si="0"/>
        <v>100</v>
      </c>
      <c r="T9" s="770" t="s">
        <v>17</v>
      </c>
      <c r="U9" s="771">
        <f t="shared" si="1"/>
        <v>100</v>
      </c>
      <c r="V9" s="770" t="s">
        <v>17</v>
      </c>
      <c r="W9" s="771">
        <f t="shared" si="2"/>
        <v>100</v>
      </c>
      <c r="X9" s="772"/>
      <c r="Y9" s="302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13"/>
      <c r="Q10" s="1796"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13"/>
      <c r="Q11" s="1796">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13"/>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13"/>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5" t="s">
        <v>2558</v>
      </c>
      <c r="Q14" s="1811" t="str">
        <f t="shared" si="6"/>
        <v>交通便捷度</v>
      </c>
      <c r="R14" s="774" t="s">
        <v>17</v>
      </c>
      <c r="S14" s="775">
        <f t="shared" si="0"/>
        <v>100</v>
      </c>
      <c r="T14" s="774" t="s">
        <v>17</v>
      </c>
      <c r="U14" s="775">
        <f t="shared" si="1"/>
        <v>100</v>
      </c>
      <c r="V14" s="774" t="s">
        <v>17</v>
      </c>
      <c r="W14" s="775">
        <f t="shared" si="2"/>
        <v>100</v>
      </c>
      <c r="X14" s="1814"/>
      <c r="Y14" s="3215"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16"/>
      <c r="Q15" s="1811"/>
      <c r="R15" s="774"/>
      <c r="S15" s="775"/>
      <c r="T15" s="774"/>
      <c r="U15" s="775"/>
      <c r="V15" s="774"/>
      <c r="W15" s="775"/>
      <c r="X15" s="1814"/>
      <c r="Y15" s="3216"/>
      <c r="Z15" s="1815"/>
      <c r="AA15" s="1812">
        <v>1</v>
      </c>
      <c r="AB15" s="1812">
        <v>1</v>
      </c>
      <c r="AC15" s="1812">
        <v>1</v>
      </c>
    </row>
    <row r="16" spans="1:29" ht="42.75">
      <c r="A16" s="428"/>
      <c r="B16" s="451" t="s">
        <v>2686</v>
      </c>
      <c r="C16" s="2607"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6"/>
      <c r="Q16" s="1811" t="str">
        <f>B16</f>
        <v>公共配套设施</v>
      </c>
      <c r="R16" s="774" t="s">
        <v>17</v>
      </c>
      <c r="S16" s="775">
        <f>F16</f>
        <v>100</v>
      </c>
      <c r="T16" s="774" t="s">
        <v>17</v>
      </c>
      <c r="U16" s="775">
        <f>H16</f>
        <v>100</v>
      </c>
      <c r="V16" s="774" t="s">
        <v>17</v>
      </c>
      <c r="W16" s="775">
        <f>J16</f>
        <v>100</v>
      </c>
      <c r="X16" s="1814"/>
      <c r="Y16" s="3216"/>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1"/>
      <c r="M17" s="1132"/>
      <c r="N17" s="1132"/>
      <c r="O17" s="1140"/>
      <c r="P17" s="3216"/>
      <c r="Q17" s="1811"/>
      <c r="R17" s="774"/>
      <c r="S17" s="775"/>
      <c r="T17" s="774"/>
      <c r="U17" s="775"/>
      <c r="V17" s="774"/>
      <c r="W17" s="775"/>
      <c r="X17" s="1814"/>
      <c r="Y17" s="3216"/>
      <c r="Z17" s="1815"/>
      <c r="AA17" s="1812">
        <v>1</v>
      </c>
      <c r="AB17" s="1812">
        <v>1</v>
      </c>
      <c r="AC17" s="1812">
        <v>1</v>
      </c>
    </row>
    <row r="18" spans="1:29" ht="28.5">
      <c r="A18" s="428"/>
      <c r="B18" s="1385" t="s">
        <v>2687</v>
      </c>
      <c r="C18" s="2607"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6"/>
      <c r="Q18" s="1811" t="str">
        <f>B18</f>
        <v>基础设施水平</v>
      </c>
      <c r="R18" s="774" t="s">
        <v>17</v>
      </c>
      <c r="S18" s="775">
        <f>F18</f>
        <v>100</v>
      </c>
      <c r="T18" s="774" t="s">
        <v>17</v>
      </c>
      <c r="U18" s="775">
        <f>H18</f>
        <v>100</v>
      </c>
      <c r="V18" s="774" t="s">
        <v>17</v>
      </c>
      <c r="W18" s="775">
        <f>J18</f>
        <v>100</v>
      </c>
      <c r="X18" s="1814"/>
      <c r="Y18" s="3216"/>
      <c r="Z18" s="1815" t="str">
        <f>Q18</f>
        <v>基础设施水平</v>
      </c>
      <c r="AA18" s="1812">
        <f>D18/F18</f>
        <v>1</v>
      </c>
      <c r="AB18" s="1812">
        <f>D18/H18</f>
        <v>1</v>
      </c>
      <c r="AC18" s="1812">
        <f>D18/J18</f>
        <v>1</v>
      </c>
    </row>
    <row r="19" spans="1:29" ht="15">
      <c r="A19" s="428"/>
      <c r="B19" s="1385"/>
      <c r="C19" s="2608"/>
      <c r="D19" s="450"/>
      <c r="E19" s="2608"/>
      <c r="F19" s="453"/>
      <c r="G19" s="2608"/>
      <c r="H19" s="448"/>
      <c r="I19" s="447"/>
      <c r="J19" s="448"/>
      <c r="K19" s="1384"/>
      <c r="L19" s="1141"/>
      <c r="M19" s="1132"/>
      <c r="N19" s="1132"/>
      <c r="O19" s="1140"/>
      <c r="P19" s="3216"/>
      <c r="Q19" s="1811"/>
      <c r="R19" s="774"/>
      <c r="S19" s="775"/>
      <c r="T19" s="774"/>
      <c r="U19" s="775"/>
      <c r="V19" s="774"/>
      <c r="W19" s="775"/>
      <c r="X19" s="1814"/>
      <c r="Y19" s="3216"/>
      <c r="Z19" s="1815"/>
      <c r="AA19" s="1812">
        <v>1</v>
      </c>
      <c r="AB19" s="1812">
        <v>1</v>
      </c>
      <c r="AC19" s="1812">
        <v>1</v>
      </c>
    </row>
    <row r="20" spans="1:29" ht="57">
      <c r="A20" s="428"/>
      <c r="B20" s="451" t="s">
        <v>2708</v>
      </c>
      <c r="C20" s="2607"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6"/>
      <c r="Q20" s="1811" t="str">
        <f>B20</f>
        <v>自然及人文环境</v>
      </c>
      <c r="R20" s="774" t="s">
        <v>17</v>
      </c>
      <c r="S20" s="775">
        <f>F20</f>
        <v>100</v>
      </c>
      <c r="T20" s="774" t="s">
        <v>17</v>
      </c>
      <c r="U20" s="775">
        <f>H20</f>
        <v>100</v>
      </c>
      <c r="V20" s="774" t="s">
        <v>17</v>
      </c>
      <c r="W20" s="775">
        <f>J20</f>
        <v>100</v>
      </c>
      <c r="X20" s="1814"/>
      <c r="Y20" s="3216"/>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16"/>
      <c r="Q21" s="1811"/>
      <c r="R21" s="774"/>
      <c r="S21" s="775"/>
      <c r="T21" s="774"/>
      <c r="U21" s="775"/>
      <c r="V21" s="774"/>
      <c r="W21" s="775"/>
      <c r="X21" s="1814"/>
      <c r="Y21" s="3216"/>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6"/>
      <c r="Q22" s="1811" t="str">
        <f>B22</f>
        <v>楼层</v>
      </c>
      <c r="R22" s="774" t="s">
        <v>17</v>
      </c>
      <c r="S22" s="775">
        <f>F22</f>
        <v>100</v>
      </c>
      <c r="T22" s="774" t="s">
        <v>17</v>
      </c>
      <c r="U22" s="775">
        <f>H22</f>
        <v>100</v>
      </c>
      <c r="V22" s="774" t="s">
        <v>17</v>
      </c>
      <c r="W22" s="775">
        <f>J22</f>
        <v>100</v>
      </c>
      <c r="X22" s="1814"/>
      <c r="Y22" s="3216"/>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6"/>
      <c r="Q23" s="1811">
        <f>B23</f>
        <v>111</v>
      </c>
      <c r="R23" s="774" t="s">
        <v>17</v>
      </c>
      <c r="S23" s="775">
        <f>F23</f>
        <v>100</v>
      </c>
      <c r="T23" s="774" t="s">
        <v>17</v>
      </c>
      <c r="U23" s="775">
        <f>H23</f>
        <v>100</v>
      </c>
      <c r="V23" s="774" t="s">
        <v>17</v>
      </c>
      <c r="W23" s="775">
        <f>J23</f>
        <v>100</v>
      </c>
      <c r="X23" s="1814"/>
      <c r="Y23" s="3216"/>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6"/>
      <c r="Q24" s="1811">
        <f t="shared" ref="Q24:Q34" si="8">B24</f>
        <v>111</v>
      </c>
      <c r="R24" s="774" t="s">
        <v>17</v>
      </c>
      <c r="S24" s="775">
        <f>F24</f>
        <v>100</v>
      </c>
      <c r="T24" s="774" t="s">
        <v>17</v>
      </c>
      <c r="U24" s="775">
        <f>H24</f>
        <v>100</v>
      </c>
      <c r="V24" s="774" t="s">
        <v>17</v>
      </c>
      <c r="W24" s="775">
        <f>J24</f>
        <v>100</v>
      </c>
      <c r="X24" s="1814"/>
      <c r="Y24" s="3216"/>
      <c r="Z24" s="1815">
        <f>Q24</f>
        <v>111</v>
      </c>
      <c r="AA24" s="1812">
        <f t="shared" si="3"/>
        <v>1</v>
      </c>
      <c r="AB24" s="1812">
        <f t="shared" si="4"/>
        <v>1</v>
      </c>
      <c r="AC24" s="1812">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16"/>
      <c r="Q25" s="1796">
        <f t="shared" si="8"/>
        <v>111</v>
      </c>
      <c r="R25" s="770" t="s">
        <v>17</v>
      </c>
      <c r="S25" s="771">
        <f>F25</f>
        <v>100</v>
      </c>
      <c r="T25" s="770" t="s">
        <v>17</v>
      </c>
      <c r="U25" s="771">
        <f>H25</f>
        <v>100</v>
      </c>
      <c r="V25" s="770" t="s">
        <v>17</v>
      </c>
      <c r="W25" s="771">
        <f>J25</f>
        <v>100</v>
      </c>
      <c r="X25" s="772"/>
      <c r="Y25" s="3216"/>
      <c r="Z25" s="55">
        <f>Q25</f>
        <v>111</v>
      </c>
      <c r="AA25" s="1812">
        <f>D25/F25</f>
        <v>1</v>
      </c>
      <c r="AB25" s="1812">
        <f>D25/H25</f>
        <v>1</v>
      </c>
      <c r="AC25" s="1812">
        <f>D25/J25</f>
        <v>1</v>
      </c>
    </row>
    <row r="26" spans="1:29" ht="1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239" t="s">
        <v>2563</v>
      </c>
      <c r="Q26" s="1811" t="str">
        <f t="shared" si="8"/>
        <v>公共部分装修</v>
      </c>
      <c r="R26" s="774" t="s">
        <v>17</v>
      </c>
      <c r="S26" s="775">
        <f t="shared" ref="S26:S34" si="9">F26</f>
        <v>100</v>
      </c>
      <c r="T26" s="774" t="s">
        <v>17</v>
      </c>
      <c r="U26" s="775">
        <f t="shared" ref="U26:U34" si="10">H26</f>
        <v>100</v>
      </c>
      <c r="V26" s="774" t="s">
        <v>17</v>
      </c>
      <c r="W26" s="775">
        <f t="shared" ref="W26:W34" si="11">J26</f>
        <v>100</v>
      </c>
      <c r="X26" s="1814"/>
      <c r="Y26" s="3220" t="s">
        <v>2563</v>
      </c>
      <c r="Z26" s="1815" t="str">
        <f t="shared" ref="Z26:Z34" si="12">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20"/>
      <c r="Q27" s="776" t="str">
        <f t="shared" si="8"/>
        <v>成新率</v>
      </c>
      <c r="R27" s="777" t="s">
        <v>17</v>
      </c>
      <c r="S27" s="778" t="e">
        <f t="shared" si="9"/>
        <v>#N/A</v>
      </c>
      <c r="T27" s="777" t="s">
        <v>17</v>
      </c>
      <c r="U27" s="778" t="e">
        <f t="shared" si="10"/>
        <v>#N/A</v>
      </c>
      <c r="V27" s="777" t="s">
        <v>17</v>
      </c>
      <c r="W27" s="778" t="e">
        <f t="shared" si="11"/>
        <v>#N/A</v>
      </c>
      <c r="X27" s="779"/>
      <c r="Y27" s="3220"/>
      <c r="Z27" s="780" t="str">
        <f t="shared" si="12"/>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20"/>
      <c r="Q28" s="1811" t="str">
        <f t="shared" si="8"/>
        <v>物业等级</v>
      </c>
      <c r="R28" s="774" t="s">
        <v>17</v>
      </c>
      <c r="S28" s="775">
        <f t="shared" si="9"/>
        <v>100</v>
      </c>
      <c r="T28" s="774" t="s">
        <v>17</v>
      </c>
      <c r="U28" s="775">
        <f t="shared" si="10"/>
        <v>100</v>
      </c>
      <c r="V28" s="774" t="s">
        <v>17</v>
      </c>
      <c r="W28" s="775">
        <f t="shared" si="11"/>
        <v>100</v>
      </c>
      <c r="X28" s="1814"/>
      <c r="Y28" s="3220"/>
      <c r="Z28" s="1815" t="str">
        <f t="shared" si="12"/>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20"/>
      <c r="Q29" s="1811" t="str">
        <f t="shared" si="8"/>
        <v>有无电梯</v>
      </c>
      <c r="R29" s="774" t="s">
        <v>17</v>
      </c>
      <c r="S29" s="775">
        <f t="shared" si="9"/>
        <v>100</v>
      </c>
      <c r="T29" s="774" t="s">
        <v>17</v>
      </c>
      <c r="U29" s="775">
        <f t="shared" si="10"/>
        <v>100</v>
      </c>
      <c r="V29" s="774" t="s">
        <v>17</v>
      </c>
      <c r="W29" s="775">
        <f t="shared" si="11"/>
        <v>100</v>
      </c>
      <c r="X29" s="1814"/>
      <c r="Y29" s="3220"/>
      <c r="Z29" s="1815" t="str">
        <f t="shared" si="12"/>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20"/>
      <c r="Q30" s="1811" t="str">
        <f t="shared" si="8"/>
        <v>建筑面积</v>
      </c>
      <c r="R30" s="774" t="s">
        <v>17</v>
      </c>
      <c r="S30" s="775" t="e">
        <f t="shared" si="9"/>
        <v>#N/A</v>
      </c>
      <c r="T30" s="774" t="s">
        <v>17</v>
      </c>
      <c r="U30" s="775" t="e">
        <f t="shared" si="10"/>
        <v>#N/A</v>
      </c>
      <c r="V30" s="774" t="s">
        <v>17</v>
      </c>
      <c r="W30" s="775" t="e">
        <f t="shared" si="11"/>
        <v>#N/A</v>
      </c>
      <c r="X30" s="1814"/>
      <c r="Y30" s="3220"/>
      <c r="Z30" s="1815" t="str">
        <f t="shared" si="12"/>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20"/>
      <c r="Q31" s="1796" t="str">
        <f t="shared" si="8"/>
        <v>是否封闭</v>
      </c>
      <c r="R31" s="770" t="s">
        <v>17</v>
      </c>
      <c r="S31" s="771">
        <f t="shared" si="9"/>
        <v>100</v>
      </c>
      <c r="T31" s="770" t="s">
        <v>17</v>
      </c>
      <c r="U31" s="771">
        <f t="shared" si="10"/>
        <v>100</v>
      </c>
      <c r="V31" s="770" t="s">
        <v>17</v>
      </c>
      <c r="W31" s="771">
        <f t="shared" si="11"/>
        <v>100</v>
      </c>
      <c r="X31" s="772"/>
      <c r="Y31" s="3220"/>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20" t="s">
        <v>2563</v>
      </c>
      <c r="Q32" s="1811">
        <f t="shared" si="8"/>
        <v>111</v>
      </c>
      <c r="R32" s="774" t="s">
        <v>17</v>
      </c>
      <c r="S32" s="775">
        <f t="shared" si="9"/>
        <v>100</v>
      </c>
      <c r="T32" s="774" t="s">
        <v>17</v>
      </c>
      <c r="U32" s="775">
        <f t="shared" si="10"/>
        <v>100</v>
      </c>
      <c r="V32" s="774" t="s">
        <v>17</v>
      </c>
      <c r="W32" s="775">
        <f t="shared" si="11"/>
        <v>100</v>
      </c>
      <c r="X32" s="1814"/>
      <c r="Y32" s="3220" t="s">
        <v>2563</v>
      </c>
      <c r="Z32" s="1815">
        <f t="shared" si="12"/>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20"/>
      <c r="Q33" s="1811">
        <f t="shared" si="8"/>
        <v>111</v>
      </c>
      <c r="R33" s="774" t="s">
        <v>17</v>
      </c>
      <c r="S33" s="775">
        <f t="shared" si="9"/>
        <v>100</v>
      </c>
      <c r="T33" s="774" t="s">
        <v>17</v>
      </c>
      <c r="U33" s="775">
        <f t="shared" si="10"/>
        <v>100</v>
      </c>
      <c r="V33" s="774" t="s">
        <v>17</v>
      </c>
      <c r="W33" s="775">
        <f t="shared" si="11"/>
        <v>100</v>
      </c>
      <c r="X33" s="1814"/>
      <c r="Y33" s="3220"/>
      <c r="Z33" s="1815">
        <f t="shared" si="12"/>
        <v>111</v>
      </c>
      <c r="AA33" s="1812">
        <f t="shared" si="3"/>
        <v>1</v>
      </c>
      <c r="AB33" s="1812">
        <f t="shared" si="4"/>
        <v>1</v>
      </c>
      <c r="AC33" s="1812">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20"/>
      <c r="Q34" s="1811">
        <f t="shared" si="8"/>
        <v>111</v>
      </c>
      <c r="R34" s="774" t="s">
        <v>17</v>
      </c>
      <c r="S34" s="775">
        <f t="shared" si="9"/>
        <v>100</v>
      </c>
      <c r="T34" s="774" t="s">
        <v>17</v>
      </c>
      <c r="U34" s="775">
        <f t="shared" si="10"/>
        <v>100</v>
      </c>
      <c r="V34" s="774" t="s">
        <v>17</v>
      </c>
      <c r="W34" s="775">
        <f t="shared" si="11"/>
        <v>100</v>
      </c>
      <c r="X34" s="1814"/>
      <c r="Y34" s="3220"/>
      <c r="Z34" s="1815">
        <f t="shared" si="12"/>
        <v>111</v>
      </c>
      <c r="AA34" s="1812">
        <f t="shared" si="3"/>
        <v>1</v>
      </c>
      <c r="AB34" s="1812">
        <f t="shared" si="4"/>
        <v>1</v>
      </c>
      <c r="AC34" s="1812">
        <f t="shared" si="5"/>
        <v>1</v>
      </c>
    </row>
    <row r="35" spans="1:29" ht="15">
      <c r="A35" s="479" t="s">
        <v>2575</v>
      </c>
      <c r="B35" s="480"/>
      <c r="C35" s="1408" t="s">
        <v>1</v>
      </c>
      <c r="D35" s="1409"/>
      <c r="E35" s="1410"/>
      <c r="F35" s="1411"/>
      <c r="G35" s="1412"/>
      <c r="H35" s="1413"/>
      <c r="I35" s="1410"/>
      <c r="J35" s="1413"/>
      <c r="K35" s="783"/>
      <c r="L35" s="1144"/>
      <c r="M35" s="1145"/>
      <c r="N35" s="1132"/>
      <c r="O35" s="1145"/>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2668</v>
      </c>
      <c r="B37" s="493"/>
      <c r="C37" s="1418" t="e">
        <f>R37</f>
        <v>#DIV/0!</v>
      </c>
      <c r="D37" s="1418"/>
      <c r="E37" s="1418"/>
      <c r="F37" s="1418"/>
      <c r="G37" s="1418"/>
      <c r="H37" s="1418"/>
      <c r="I37" s="1418"/>
      <c r="J37" s="1418"/>
      <c r="K37" s="785"/>
      <c r="L37" s="1144"/>
      <c r="M37" s="1145"/>
      <c r="N37" s="1145"/>
      <c r="O37" s="1145"/>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5" t="str">
        <f>YEAR(C7)&amp;"-"&amp;MONTH(C7)</f>
        <v>2018-12</v>
      </c>
      <c r="D46" s="1576">
        <f>EDATE(C46,-1)</f>
        <v>43405</v>
      </c>
      <c r="E46" s="1576">
        <f t="shared" ref="E46:O46" si="13">EDATE(D46,-1)</f>
        <v>43374</v>
      </c>
      <c r="F46" s="1576">
        <f t="shared" si="13"/>
        <v>43344</v>
      </c>
      <c r="G46" s="1576">
        <f t="shared" si="13"/>
        <v>43313</v>
      </c>
      <c r="H46" s="1576">
        <f t="shared" si="13"/>
        <v>43282</v>
      </c>
      <c r="I46" s="1576">
        <f t="shared" si="13"/>
        <v>43252</v>
      </c>
      <c r="J46" s="1576">
        <f t="shared" si="13"/>
        <v>43221</v>
      </c>
      <c r="K46" s="1576">
        <f t="shared" si="13"/>
        <v>43191</v>
      </c>
      <c r="L46" s="1576">
        <f t="shared" si="13"/>
        <v>43160</v>
      </c>
      <c r="M46" s="1576">
        <f t="shared" si="13"/>
        <v>43132</v>
      </c>
      <c r="N46" s="1576">
        <f t="shared" si="13"/>
        <v>43101</v>
      </c>
      <c r="O46" s="1576">
        <f t="shared" si="13"/>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4"/>
      <c r="O85" s="1154"/>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179" t="s">
        <v>2646</v>
      </c>
      <c r="AC4" s="3178" t="s">
        <v>2647</v>
      </c>
    </row>
    <row r="5" spans="1:30"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179"/>
      <c r="AC5" s="3179"/>
    </row>
    <row r="6" spans="1:30" ht="15.75" thickBot="1">
      <c r="A6" s="406"/>
      <c r="B6" s="407"/>
      <c r="C6" s="3191" t="s">
        <v>2544</v>
      </c>
      <c r="D6" s="3192"/>
      <c r="E6" s="3193" t="s">
        <v>2544</v>
      </c>
      <c r="F6" s="3194"/>
      <c r="G6" s="3191" t="s">
        <v>2544</v>
      </c>
      <c r="H6" s="3192"/>
      <c r="I6" s="3191" t="s">
        <v>2544</v>
      </c>
      <c r="J6" s="3192"/>
      <c r="K6" s="610" t="s">
        <v>2545</v>
      </c>
      <c r="L6" s="1131"/>
      <c r="M6" s="1132"/>
      <c r="N6" s="1132"/>
      <c r="O6" s="1132"/>
      <c r="P6" s="3204"/>
      <c r="Q6" s="3205"/>
      <c r="R6" s="3185"/>
      <c r="S6" s="3186"/>
      <c r="T6" s="3206"/>
      <c r="U6" s="3207"/>
      <c r="V6" s="3208"/>
      <c r="W6" s="3208"/>
      <c r="X6" s="1814"/>
      <c r="Y6" s="3206"/>
      <c r="Z6" s="3207"/>
      <c r="AA6" s="3180"/>
      <c r="AB6" s="3180"/>
      <c r="AC6" s="3180"/>
    </row>
    <row r="7" spans="1:30" s="117" customFormat="1" ht="15.75" thickBot="1">
      <c r="A7" s="408" t="s">
        <v>2546</v>
      </c>
      <c r="B7" s="409"/>
      <c r="C7" s="410">
        <f>'数据-取费表'!B2</f>
        <v>43458</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13"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13"/>
      <c r="Q10" s="1796" t="str">
        <f t="shared" si="6"/>
        <v>土地使用年限（年）</v>
      </c>
      <c r="R10" s="770" t="s">
        <v>17</v>
      </c>
      <c r="S10" s="771">
        <f t="shared" si="0"/>
        <v>110</v>
      </c>
      <c r="T10" s="770" t="s">
        <v>17</v>
      </c>
      <c r="U10" s="771">
        <f t="shared" si="1"/>
        <v>110</v>
      </c>
      <c r="V10" s="770" t="s">
        <v>17</v>
      </c>
      <c r="W10" s="771">
        <f t="shared" si="2"/>
        <v>110</v>
      </c>
      <c r="X10" s="772"/>
      <c r="Y10" s="3028"/>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13"/>
      <c r="Q11" s="1796"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13"/>
      <c r="Q12" s="1796"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13"/>
      <c r="Q13" s="1796">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13"/>
      <c r="Q14" s="1796">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2557</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5" t="s">
        <v>2558</v>
      </c>
      <c r="Q15" s="1811" t="str">
        <f t="shared" si="6"/>
        <v>居住社区成熟度</v>
      </c>
      <c r="R15" s="774" t="s">
        <v>17</v>
      </c>
      <c r="S15" s="775">
        <f t="shared" si="0"/>
        <v>100</v>
      </c>
      <c r="T15" s="774" t="s">
        <v>17</v>
      </c>
      <c r="U15" s="775">
        <f t="shared" si="1"/>
        <v>100</v>
      </c>
      <c r="V15" s="774" t="s">
        <v>17</v>
      </c>
      <c r="W15" s="775">
        <f t="shared" si="2"/>
        <v>100</v>
      </c>
      <c r="X15" s="1814"/>
      <c r="Y15" s="3215" t="s">
        <v>2558</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2"/>
      <c r="L16" s="1141"/>
      <c r="M16" s="1132"/>
      <c r="N16" s="1132"/>
      <c r="O16" s="1140"/>
      <c r="P16" s="3216"/>
      <c r="Q16" s="1811"/>
      <c r="R16" s="774"/>
      <c r="S16" s="775"/>
      <c r="T16" s="774"/>
      <c r="U16" s="775"/>
      <c r="V16" s="774"/>
      <c r="W16" s="775"/>
      <c r="X16" s="1814"/>
      <c r="Y16" s="3216"/>
      <c r="Z16" s="1815"/>
      <c r="AA16" s="1812">
        <v>1</v>
      </c>
      <c r="AB16" s="1812">
        <v>1</v>
      </c>
      <c r="AC16" s="1812">
        <v>1</v>
      </c>
    </row>
    <row r="17" spans="1:29" ht="71.25">
      <c r="A17" s="428"/>
      <c r="B17" s="451" t="s">
        <v>2651</v>
      </c>
      <c r="C17" s="2664"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6"/>
      <c r="Q17" s="1811" t="str">
        <f>B17</f>
        <v>商业繁华度</v>
      </c>
      <c r="R17" s="774" t="s">
        <v>17</v>
      </c>
      <c r="S17" s="775">
        <f>F17</f>
        <v>100</v>
      </c>
      <c r="T17" s="774" t="s">
        <v>17</v>
      </c>
      <c r="U17" s="775">
        <f>H17</f>
        <v>100</v>
      </c>
      <c r="V17" s="774" t="s">
        <v>17</v>
      </c>
      <c r="W17" s="775">
        <f>J17</f>
        <v>100</v>
      </c>
      <c r="X17" s="1814"/>
      <c r="Y17" s="3216"/>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2"/>
      <c r="L18" s="1141"/>
      <c r="M18" s="1132"/>
      <c r="N18" s="1132"/>
      <c r="O18" s="1140"/>
      <c r="P18" s="3216"/>
      <c r="Q18" s="1811"/>
      <c r="R18" s="774"/>
      <c r="S18" s="775"/>
      <c r="T18" s="774"/>
      <c r="U18" s="775"/>
      <c r="V18" s="774"/>
      <c r="W18" s="775"/>
      <c r="X18" s="1814"/>
      <c r="Y18" s="3216"/>
      <c r="Z18" s="1815"/>
      <c r="AA18" s="1812">
        <v>1</v>
      </c>
      <c r="AB18" s="1812">
        <v>1</v>
      </c>
      <c r="AC18" s="1812">
        <v>1</v>
      </c>
    </row>
    <row r="19" spans="1:29" ht="71.25">
      <c r="A19" s="428"/>
      <c r="B19" s="451" t="s">
        <v>2685</v>
      </c>
      <c r="C19" s="2664"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6"/>
      <c r="Q19" s="1811" t="str">
        <f>B19</f>
        <v>办公集聚程度</v>
      </c>
      <c r="R19" s="774" t="s">
        <v>17</v>
      </c>
      <c r="S19" s="775">
        <f>F19</f>
        <v>100</v>
      </c>
      <c r="T19" s="774" t="s">
        <v>17</v>
      </c>
      <c r="U19" s="775">
        <f>H19</f>
        <v>100</v>
      </c>
      <c r="V19" s="774" t="s">
        <v>17</v>
      </c>
      <c r="W19" s="775">
        <f>J19</f>
        <v>100</v>
      </c>
      <c r="X19" s="1814"/>
      <c r="Y19" s="3216"/>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2"/>
      <c r="L20" s="1141"/>
      <c r="M20" s="1132"/>
      <c r="N20" s="1132"/>
      <c r="O20" s="1140"/>
      <c r="P20" s="3216"/>
      <c r="Q20" s="1811"/>
      <c r="R20" s="774"/>
      <c r="S20" s="775"/>
      <c r="T20" s="774"/>
      <c r="U20" s="775"/>
      <c r="V20" s="774"/>
      <c r="W20" s="775"/>
      <c r="X20" s="1814"/>
      <c r="Y20" s="3216"/>
      <c r="Z20" s="1815"/>
      <c r="AA20" s="1812">
        <v>1</v>
      </c>
      <c r="AB20" s="1812">
        <v>1</v>
      </c>
      <c r="AC20" s="1812">
        <v>1</v>
      </c>
    </row>
    <row r="21" spans="1:29" ht="85.5">
      <c r="A21" s="428"/>
      <c r="B21" s="451" t="s">
        <v>2707</v>
      </c>
      <c r="C21" s="2607"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6"/>
      <c r="Q21" s="1811" t="str">
        <f>B21</f>
        <v>交通便捷度</v>
      </c>
      <c r="R21" s="774" t="s">
        <v>17</v>
      </c>
      <c r="S21" s="775">
        <f>F21</f>
        <v>100</v>
      </c>
      <c r="T21" s="774" t="s">
        <v>17</v>
      </c>
      <c r="U21" s="775">
        <f>H21</f>
        <v>100</v>
      </c>
      <c r="V21" s="774" t="s">
        <v>17</v>
      </c>
      <c r="W21" s="775">
        <f>J21</f>
        <v>100</v>
      </c>
      <c r="X21" s="1814"/>
      <c r="Y21" s="3216"/>
      <c r="Z21" s="1815" t="str">
        <f>Q21</f>
        <v>交通便捷度</v>
      </c>
      <c r="AA21" s="1812">
        <f t="shared" si="3"/>
        <v>1</v>
      </c>
      <c r="AB21" s="1812">
        <f t="shared" si="4"/>
        <v>1</v>
      </c>
      <c r="AC21" s="1812">
        <f t="shared" si="5"/>
        <v>1</v>
      </c>
    </row>
    <row r="22" spans="1:29" ht="15">
      <c r="A22" s="428"/>
      <c r="B22" s="1385"/>
      <c r="C22" s="447"/>
      <c r="D22" s="450"/>
      <c r="E22" s="2605"/>
      <c r="F22" s="448"/>
      <c r="G22" s="2605"/>
      <c r="H22" s="448"/>
      <c r="I22" s="2604"/>
      <c r="J22" s="448"/>
      <c r="K22" s="672"/>
      <c r="L22" s="1141"/>
      <c r="M22" s="1132"/>
      <c r="N22" s="1132"/>
      <c r="O22" s="1140"/>
      <c r="P22" s="3216"/>
      <c r="Q22" s="1811"/>
      <c r="R22" s="774"/>
      <c r="S22" s="775"/>
      <c r="T22" s="774"/>
      <c r="U22" s="775"/>
      <c r="V22" s="774"/>
      <c r="W22" s="775"/>
      <c r="X22" s="1814"/>
      <c r="Y22" s="3216"/>
      <c r="Z22" s="1815"/>
      <c r="AA22" s="1812">
        <v>1</v>
      </c>
      <c r="AB22" s="1812">
        <v>1</v>
      </c>
      <c r="AC22" s="1812">
        <v>1</v>
      </c>
    </row>
    <row r="23" spans="1:29" ht="15">
      <c r="A23" s="404"/>
      <c r="B23" s="451" t="s">
        <v>2746</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6"/>
      <c r="Q23" s="1811" t="str">
        <f t="shared" ref="Q23:Q37" si="8">B23</f>
        <v>区域土地利用方向</v>
      </c>
      <c r="R23" s="774" t="s">
        <v>17</v>
      </c>
      <c r="S23" s="775">
        <f>F23</f>
        <v>100</v>
      </c>
      <c r="T23" s="774" t="s">
        <v>17</v>
      </c>
      <c r="U23" s="775">
        <f>H23</f>
        <v>100</v>
      </c>
      <c r="V23" s="774" t="s">
        <v>17</v>
      </c>
      <c r="W23" s="775">
        <f>J23</f>
        <v>100</v>
      </c>
      <c r="X23" s="1814"/>
      <c r="Y23" s="3216"/>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1"/>
      <c r="M24" s="1132"/>
      <c r="N24" s="1132"/>
      <c r="O24" s="1140"/>
      <c r="P24" s="3216"/>
      <c r="Q24" s="1811"/>
      <c r="R24" s="774"/>
      <c r="S24" s="775"/>
      <c r="T24" s="774"/>
      <c r="U24" s="775"/>
      <c r="V24" s="774"/>
      <c r="W24" s="775"/>
      <c r="X24" s="1814"/>
      <c r="Y24" s="3216"/>
      <c r="Z24" s="1815"/>
      <c r="AA24" s="1812"/>
      <c r="AB24" s="1812"/>
      <c r="AC24" s="1812"/>
    </row>
    <row r="25" spans="1:29" ht="57">
      <c r="A25" s="404"/>
      <c r="B25" s="1385" t="s">
        <v>2747</v>
      </c>
      <c r="C25" s="2664"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6"/>
      <c r="Q25" s="1811" t="str">
        <f t="shared" si="8"/>
        <v>自然及人文环境状况</v>
      </c>
      <c r="R25" s="774" t="s">
        <v>17</v>
      </c>
      <c r="S25" s="775">
        <f>F25</f>
        <v>100</v>
      </c>
      <c r="T25" s="774" t="s">
        <v>17</v>
      </c>
      <c r="U25" s="775">
        <f>H25</f>
        <v>100</v>
      </c>
      <c r="V25" s="774" t="s">
        <v>17</v>
      </c>
      <c r="W25" s="775">
        <f>J25</f>
        <v>100</v>
      </c>
      <c r="X25" s="1814"/>
      <c r="Y25" s="3216"/>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2"/>
      <c r="L26" s="1141"/>
      <c r="M26" s="1132"/>
      <c r="N26" s="1132"/>
      <c r="O26" s="1140"/>
      <c r="P26" s="3216"/>
      <c r="Q26" s="1811"/>
      <c r="R26" s="774"/>
      <c r="S26" s="775"/>
      <c r="T26" s="774"/>
      <c r="U26" s="775"/>
      <c r="V26" s="774"/>
      <c r="W26" s="775"/>
      <c r="X26" s="1814"/>
      <c r="Y26" s="3216"/>
      <c r="Z26" s="1815"/>
      <c r="AA26" s="1812">
        <v>1</v>
      </c>
      <c r="AB26" s="1812">
        <v>1</v>
      </c>
      <c r="AC26" s="1812">
        <v>1</v>
      </c>
    </row>
    <row r="27" spans="1:29" s="117" customFormat="1" ht="42.75">
      <c r="A27" s="649"/>
      <c r="B27" s="1385" t="s">
        <v>2652</v>
      </c>
      <c r="C27" s="2607"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6"/>
      <c r="Q27" s="1796" t="str">
        <f t="shared" si="8"/>
        <v>公共配套设施</v>
      </c>
      <c r="R27" s="770" t="s">
        <v>17</v>
      </c>
      <c r="S27" s="771">
        <f>F27</f>
        <v>100</v>
      </c>
      <c r="T27" s="770" t="s">
        <v>17</v>
      </c>
      <c r="U27" s="771">
        <f>H27</f>
        <v>100</v>
      </c>
      <c r="V27" s="770" t="s">
        <v>17</v>
      </c>
      <c r="W27" s="771">
        <f>J27</f>
        <v>100</v>
      </c>
      <c r="X27" s="772"/>
      <c r="Y27" s="3216"/>
      <c r="Z27" s="55" t="str">
        <f>Q27</f>
        <v>公共配套设施</v>
      </c>
      <c r="AA27" s="1812">
        <f>D27/F27</f>
        <v>1</v>
      </c>
      <c r="AB27" s="1812">
        <f>D27/H27</f>
        <v>1</v>
      </c>
      <c r="AC27" s="1812">
        <f>D27/J27</f>
        <v>1</v>
      </c>
    </row>
    <row r="28" spans="1:29" s="117" customFormat="1" ht="15">
      <c r="A28" s="649"/>
      <c r="B28" s="456"/>
      <c r="C28" s="2700"/>
      <c r="D28" s="448"/>
      <c r="E28" s="2611"/>
      <c r="F28" s="448"/>
      <c r="G28" s="2611"/>
      <c r="H28" s="448"/>
      <c r="I28" s="447"/>
      <c r="J28" s="448"/>
      <c r="K28" s="672"/>
      <c r="L28" s="1133"/>
      <c r="M28" s="1134"/>
      <c r="N28" s="1134"/>
      <c r="O28" s="1135"/>
      <c r="P28" s="3216"/>
      <c r="Q28" s="1796"/>
      <c r="R28" s="770"/>
      <c r="S28" s="771"/>
      <c r="T28" s="770"/>
      <c r="U28" s="771"/>
      <c r="V28" s="770"/>
      <c r="W28" s="771"/>
      <c r="X28" s="772"/>
      <c r="Y28" s="3216"/>
      <c r="Z28" s="55"/>
      <c r="AA28" s="1812">
        <v>1</v>
      </c>
      <c r="AB28" s="1812">
        <v>1</v>
      </c>
      <c r="AC28" s="1812">
        <v>1</v>
      </c>
    </row>
    <row r="29" spans="1:29" s="117" customFormat="1" ht="28.5">
      <c r="A29" s="649"/>
      <c r="B29" s="1385" t="s">
        <v>2653</v>
      </c>
      <c r="C29" s="2607"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6"/>
      <c r="Q29" s="1796" t="str">
        <f>B29</f>
        <v>基础设施水平</v>
      </c>
      <c r="R29" s="770" t="s">
        <v>17</v>
      </c>
      <c r="S29" s="771">
        <f>F29</f>
        <v>100</v>
      </c>
      <c r="T29" s="770" t="s">
        <v>17</v>
      </c>
      <c r="U29" s="771">
        <f>H29</f>
        <v>100</v>
      </c>
      <c r="V29" s="770" t="s">
        <v>17</v>
      </c>
      <c r="W29" s="771">
        <f>J29</f>
        <v>100</v>
      </c>
      <c r="X29" s="772"/>
      <c r="Y29" s="3216"/>
      <c r="Z29" s="55" t="str">
        <f>Q29</f>
        <v>基础设施水平</v>
      </c>
      <c r="AA29" s="1812">
        <f>D29/F29</f>
        <v>1</v>
      </c>
      <c r="AB29" s="1812">
        <f>D29/H29</f>
        <v>1</v>
      </c>
      <c r="AC29" s="1812">
        <f>D29/J29</f>
        <v>1</v>
      </c>
    </row>
    <row r="30" spans="1:29" s="117" customFormat="1" ht="15">
      <c r="A30" s="649"/>
      <c r="B30" s="456"/>
      <c r="C30" s="2700"/>
      <c r="D30" s="448"/>
      <c r="E30" s="2701"/>
      <c r="F30" s="448"/>
      <c r="G30" s="2701"/>
      <c r="H30" s="448"/>
      <c r="I30" s="2701"/>
      <c r="J30" s="448"/>
      <c r="K30" s="672"/>
      <c r="L30" s="1133"/>
      <c r="M30" s="1134"/>
      <c r="N30" s="1134"/>
      <c r="O30" s="1135"/>
      <c r="P30" s="3216"/>
      <c r="Q30" s="1796"/>
      <c r="R30" s="770"/>
      <c r="S30" s="771"/>
      <c r="T30" s="770"/>
      <c r="U30" s="771"/>
      <c r="V30" s="770"/>
      <c r="W30" s="771"/>
      <c r="X30" s="772"/>
      <c r="Y30" s="3216"/>
      <c r="Z30" s="55"/>
      <c r="AA30" s="1812">
        <v>1</v>
      </c>
      <c r="AB30" s="1812">
        <v>1</v>
      </c>
      <c r="AC30" s="181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6"/>
      <c r="Q31" s="1811" t="str">
        <f t="shared" si="8"/>
        <v>临街状况</v>
      </c>
      <c r="R31" s="774" t="s">
        <v>17</v>
      </c>
      <c r="S31" s="775">
        <f t="shared" ref="S31:S45" si="9">F31</f>
        <v>100</v>
      </c>
      <c r="T31" s="774" t="s">
        <v>17</v>
      </c>
      <c r="U31" s="775">
        <f t="shared" ref="U31:U45" si="10">H31</f>
        <v>100</v>
      </c>
      <c r="V31" s="774" t="s">
        <v>17</v>
      </c>
      <c r="W31" s="775">
        <f t="shared" ref="W31:W45" si="11">J31</f>
        <v>100</v>
      </c>
      <c r="X31" s="1814"/>
      <c r="Y31" s="3216"/>
      <c r="Z31" s="1815" t="str">
        <f t="shared" ref="Z31:Z45" si="12">Q31</f>
        <v>临街状况</v>
      </c>
      <c r="AA31" s="1812">
        <f t="shared" si="3"/>
        <v>1</v>
      </c>
      <c r="AB31" s="1812">
        <f t="shared" si="4"/>
        <v>1</v>
      </c>
      <c r="AC31" s="1812">
        <f t="shared" si="5"/>
        <v>1</v>
      </c>
    </row>
    <row r="32" spans="1:29" ht="27">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6"/>
      <c r="Q32" s="1811" t="str">
        <f t="shared" si="8"/>
        <v>毗邻道路的类型与等级</v>
      </c>
      <c r="R32" s="774" t="s">
        <v>17</v>
      </c>
      <c r="S32" s="775">
        <f t="shared" si="9"/>
        <v>100</v>
      </c>
      <c r="T32" s="774" t="s">
        <v>17</v>
      </c>
      <c r="U32" s="775">
        <f t="shared" si="10"/>
        <v>100</v>
      </c>
      <c r="V32" s="774" t="s">
        <v>17</v>
      </c>
      <c r="W32" s="775">
        <f t="shared" si="11"/>
        <v>100</v>
      </c>
      <c r="X32" s="1814"/>
      <c r="Y32" s="3216"/>
      <c r="Z32" s="1815" t="str">
        <f t="shared" si="12"/>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1"/>
      <c r="M33" s="1132"/>
      <c r="N33" s="1132"/>
      <c r="O33" s="1140"/>
      <c r="P33" s="3216"/>
      <c r="Q33" s="1811"/>
      <c r="R33" s="774"/>
      <c r="S33" s="775"/>
      <c r="T33" s="774"/>
      <c r="U33" s="775"/>
      <c r="V33" s="774"/>
      <c r="W33" s="775"/>
      <c r="X33" s="1814"/>
      <c r="Y33" s="3216"/>
      <c r="Z33" s="1815"/>
      <c r="AA33" s="1812">
        <v>1</v>
      </c>
      <c r="AB33" s="1812">
        <v>1</v>
      </c>
      <c r="AC33" s="181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6"/>
      <c r="Q34" s="1811" t="str">
        <f t="shared" si="8"/>
        <v>土地级别</v>
      </c>
      <c r="R34" s="774" t="s">
        <v>17</v>
      </c>
      <c r="S34" s="775">
        <f t="shared" si="9"/>
        <v>100</v>
      </c>
      <c r="T34" s="774" t="s">
        <v>17</v>
      </c>
      <c r="U34" s="775">
        <f t="shared" si="10"/>
        <v>100</v>
      </c>
      <c r="V34" s="774" t="s">
        <v>17</v>
      </c>
      <c r="W34" s="775">
        <f t="shared" si="11"/>
        <v>100</v>
      </c>
      <c r="X34" s="1814"/>
      <c r="Y34" s="3216"/>
      <c r="Z34" s="1815" t="str">
        <f t="shared" si="12"/>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6"/>
      <c r="Q35" s="1811">
        <f t="shared" si="8"/>
        <v>111</v>
      </c>
      <c r="R35" s="774" t="s">
        <v>17</v>
      </c>
      <c r="S35" s="775">
        <f t="shared" si="9"/>
        <v>100</v>
      </c>
      <c r="T35" s="774" t="s">
        <v>17</v>
      </c>
      <c r="U35" s="775">
        <f t="shared" si="10"/>
        <v>100</v>
      </c>
      <c r="V35" s="774" t="s">
        <v>17</v>
      </c>
      <c r="W35" s="775">
        <f t="shared" si="11"/>
        <v>100</v>
      </c>
      <c r="X35" s="1814"/>
      <c r="Y35" s="3216"/>
      <c r="Z35" s="1815">
        <f t="shared" si="12"/>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9" t="s">
        <v>2563</v>
      </c>
      <c r="Q36" s="1811">
        <f t="shared" si="8"/>
        <v>111</v>
      </c>
      <c r="R36" s="774" t="s">
        <v>17</v>
      </c>
      <c r="S36" s="775">
        <f t="shared" si="9"/>
        <v>100</v>
      </c>
      <c r="T36" s="774" t="s">
        <v>17</v>
      </c>
      <c r="U36" s="775">
        <f t="shared" si="10"/>
        <v>100</v>
      </c>
      <c r="V36" s="774" t="s">
        <v>17</v>
      </c>
      <c r="W36" s="775">
        <f t="shared" si="11"/>
        <v>100</v>
      </c>
      <c r="X36" s="1814"/>
      <c r="Y36" s="3220" t="s">
        <v>2563</v>
      </c>
      <c r="Z36" s="1815">
        <f t="shared" si="12"/>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20"/>
      <c r="Q37" s="1811">
        <f t="shared" si="8"/>
        <v>111</v>
      </c>
      <c r="R37" s="777" t="s">
        <v>17</v>
      </c>
      <c r="S37" s="778">
        <f t="shared" si="9"/>
        <v>100</v>
      </c>
      <c r="T37" s="777" t="s">
        <v>17</v>
      </c>
      <c r="U37" s="778">
        <f t="shared" si="10"/>
        <v>100</v>
      </c>
      <c r="V37" s="777" t="s">
        <v>17</v>
      </c>
      <c r="W37" s="778">
        <f t="shared" si="11"/>
        <v>100</v>
      </c>
      <c r="X37" s="779"/>
      <c r="Y37" s="3220"/>
      <c r="Z37" s="780">
        <f t="shared" si="12"/>
        <v>111</v>
      </c>
      <c r="AA37" s="1812">
        <f t="shared" si="3"/>
        <v>1</v>
      </c>
      <c r="AB37" s="1812">
        <f t="shared" si="4"/>
        <v>1</v>
      </c>
      <c r="AC37" s="1812">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20"/>
      <c r="Q38" s="1811" t="str">
        <f>B38</f>
        <v>宗地面积</v>
      </c>
      <c r="R38" s="774" t="s">
        <v>17</v>
      </c>
      <c r="S38" s="775" t="e">
        <f t="shared" si="9"/>
        <v>#N/A</v>
      </c>
      <c r="T38" s="774" t="s">
        <v>17</v>
      </c>
      <c r="U38" s="775" t="e">
        <f t="shared" si="10"/>
        <v>#N/A</v>
      </c>
      <c r="V38" s="774" t="s">
        <v>17</v>
      </c>
      <c r="W38" s="775" t="e">
        <f t="shared" si="11"/>
        <v>#N/A</v>
      </c>
      <c r="X38" s="1814"/>
      <c r="Y38" s="3220"/>
      <c r="Z38" s="1815" t="str">
        <f t="shared" si="12"/>
        <v>宗地面积</v>
      </c>
      <c r="AA38" s="1812" t="e">
        <f t="shared" si="3"/>
        <v>#N/A</v>
      </c>
      <c r="AB38" s="1812" t="e">
        <f t="shared" si="4"/>
        <v>#N/A</v>
      </c>
      <c r="AC38" s="1812"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1"/>
      <c r="M39" s="1132"/>
      <c r="N39" s="1132"/>
      <c r="O39" s="1140"/>
      <c r="P39" s="3220"/>
      <c r="Q39" s="1811" t="str">
        <f t="shared" ref="Q39:Q45" si="13">B39</f>
        <v>宗地形状</v>
      </c>
      <c r="R39" s="774" t="s">
        <v>17</v>
      </c>
      <c r="S39" s="775">
        <f t="shared" si="9"/>
        <v>100</v>
      </c>
      <c r="T39" s="774" t="s">
        <v>17</v>
      </c>
      <c r="U39" s="775">
        <f t="shared" si="10"/>
        <v>100</v>
      </c>
      <c r="V39" s="774" t="s">
        <v>17</v>
      </c>
      <c r="W39" s="775">
        <f t="shared" si="11"/>
        <v>100</v>
      </c>
      <c r="X39" s="1814"/>
      <c r="Y39" s="3220"/>
      <c r="Z39" s="1815" t="str">
        <f t="shared" si="12"/>
        <v>宗地形状</v>
      </c>
      <c r="AA39" s="1812">
        <f t="shared" si="3"/>
        <v>1</v>
      </c>
      <c r="AB39" s="1812">
        <f t="shared" si="4"/>
        <v>1</v>
      </c>
      <c r="AC39" s="1812">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1"/>
      <c r="M40" s="1132"/>
      <c r="N40" s="1132"/>
      <c r="O40" s="1140"/>
      <c r="P40" s="3220"/>
      <c r="Q40" s="1811" t="str">
        <f t="shared" si="13"/>
        <v>临街宽度及深度</v>
      </c>
      <c r="R40" s="774" t="s">
        <v>17</v>
      </c>
      <c r="S40" s="775">
        <f t="shared" si="9"/>
        <v>100</v>
      </c>
      <c r="T40" s="774" t="s">
        <v>17</v>
      </c>
      <c r="U40" s="775">
        <f t="shared" si="10"/>
        <v>100</v>
      </c>
      <c r="V40" s="774" t="s">
        <v>17</v>
      </c>
      <c r="W40" s="775">
        <f t="shared" si="11"/>
        <v>100</v>
      </c>
      <c r="X40" s="1814"/>
      <c r="Y40" s="3220"/>
      <c r="Z40" s="1815" t="str">
        <f t="shared" si="12"/>
        <v>临街宽度及深度</v>
      </c>
      <c r="AA40" s="1812">
        <f t="shared" si="3"/>
        <v>1</v>
      </c>
      <c r="AB40" s="1812">
        <f t="shared" si="4"/>
        <v>1</v>
      </c>
      <c r="AC40" s="1812">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20"/>
      <c r="Q41" s="1811" t="str">
        <f t="shared" si="13"/>
        <v>宗地开发程度</v>
      </c>
      <c r="R41" s="770" t="s">
        <v>17</v>
      </c>
      <c r="S41" s="771">
        <f t="shared" si="9"/>
        <v>100</v>
      </c>
      <c r="T41" s="770" t="s">
        <v>17</v>
      </c>
      <c r="U41" s="771">
        <f t="shared" si="10"/>
        <v>100</v>
      </c>
      <c r="V41" s="770" t="s">
        <v>17</v>
      </c>
      <c r="W41" s="771">
        <f t="shared" si="11"/>
        <v>100</v>
      </c>
      <c r="X41" s="772"/>
      <c r="Y41" s="3220"/>
      <c r="Z41" s="55" t="str">
        <f t="shared" si="12"/>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1"/>
      <c r="M42" s="1132"/>
      <c r="N42" s="1132"/>
      <c r="O42" s="1140"/>
      <c r="P42" s="3220" t="s">
        <v>2563</v>
      </c>
      <c r="Q42" s="1811" t="str">
        <f t="shared" si="13"/>
        <v>工程地质条件</v>
      </c>
      <c r="R42" s="774" t="s">
        <v>17</v>
      </c>
      <c r="S42" s="775">
        <f t="shared" si="9"/>
        <v>100</v>
      </c>
      <c r="T42" s="774" t="s">
        <v>17</v>
      </c>
      <c r="U42" s="775">
        <f t="shared" si="10"/>
        <v>100</v>
      </c>
      <c r="V42" s="774" t="s">
        <v>17</v>
      </c>
      <c r="W42" s="775">
        <f t="shared" si="11"/>
        <v>100</v>
      </c>
      <c r="X42" s="1814"/>
      <c r="Y42" s="3220" t="s">
        <v>2563</v>
      </c>
      <c r="Z42" s="1815" t="str">
        <f t="shared" si="12"/>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20"/>
      <c r="Q43" s="1811">
        <f t="shared" si="13"/>
        <v>111</v>
      </c>
      <c r="R43" s="774" t="s">
        <v>17</v>
      </c>
      <c r="S43" s="775">
        <f t="shared" si="9"/>
        <v>100</v>
      </c>
      <c r="T43" s="774" t="s">
        <v>17</v>
      </c>
      <c r="U43" s="775">
        <f t="shared" si="10"/>
        <v>100</v>
      </c>
      <c r="V43" s="774" t="s">
        <v>17</v>
      </c>
      <c r="W43" s="775">
        <f t="shared" si="11"/>
        <v>100</v>
      </c>
      <c r="X43" s="1814"/>
      <c r="Y43" s="3220"/>
      <c r="Z43" s="1815">
        <f t="shared" si="12"/>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20"/>
      <c r="Q44" s="1811">
        <f t="shared" si="13"/>
        <v>111</v>
      </c>
      <c r="R44" s="774" t="s">
        <v>17</v>
      </c>
      <c r="S44" s="775">
        <f t="shared" si="9"/>
        <v>100</v>
      </c>
      <c r="T44" s="774" t="s">
        <v>17</v>
      </c>
      <c r="U44" s="775">
        <f t="shared" si="10"/>
        <v>100</v>
      </c>
      <c r="V44" s="774" t="s">
        <v>17</v>
      </c>
      <c r="W44" s="775">
        <f t="shared" si="11"/>
        <v>100</v>
      </c>
      <c r="X44" s="1814"/>
      <c r="Y44" s="3220"/>
      <c r="Z44" s="1815">
        <f t="shared" si="12"/>
        <v>111</v>
      </c>
      <c r="AA44" s="1812">
        <f t="shared" si="3"/>
        <v>1</v>
      </c>
      <c r="AB44" s="1812">
        <f t="shared" si="4"/>
        <v>1</v>
      </c>
      <c r="AC44" s="1812">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20"/>
      <c r="Q45" s="1811">
        <f t="shared" si="13"/>
        <v>111</v>
      </c>
      <c r="R45" s="777" t="s">
        <v>17</v>
      </c>
      <c r="S45" s="778">
        <f t="shared" si="9"/>
        <v>100</v>
      </c>
      <c r="T45" s="777" t="s">
        <v>17</v>
      </c>
      <c r="U45" s="778">
        <f t="shared" si="10"/>
        <v>100</v>
      </c>
      <c r="V45" s="777" t="s">
        <v>17</v>
      </c>
      <c r="W45" s="778">
        <f t="shared" si="11"/>
        <v>100</v>
      </c>
      <c r="X45" s="779"/>
      <c r="Y45" s="3220"/>
      <c r="Z45" s="780">
        <f t="shared" si="12"/>
        <v>111</v>
      </c>
      <c r="AA45" s="1812">
        <f t="shared" si="3"/>
        <v>1</v>
      </c>
      <c r="AB45" s="1812">
        <f t="shared" si="4"/>
        <v>1</v>
      </c>
      <c r="AC45" s="1812">
        <f t="shared" si="5"/>
        <v>1</v>
      </c>
    </row>
    <row r="46" spans="1:29" ht="15">
      <c r="A46" s="479" t="s">
        <v>2718</v>
      </c>
      <c r="B46" s="2704" t="s">
        <v>2754</v>
      </c>
      <c r="C46" s="682" t="s">
        <v>1</v>
      </c>
      <c r="D46" s="481"/>
      <c r="E46" s="482"/>
      <c r="F46" s="483"/>
      <c r="G46" s="484"/>
      <c r="H46" s="485"/>
      <c r="I46" s="482"/>
      <c r="J46" s="485"/>
      <c r="K46" s="783"/>
      <c r="L46" s="1144"/>
      <c r="M46" s="1145"/>
      <c r="N46" s="1132"/>
      <c r="O46" s="1145"/>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4"/>
      <c r="M47" s="1145"/>
      <c r="N47" s="1145"/>
      <c r="O47" s="1145"/>
      <c r="P47" s="3213" t="str">
        <f>A47</f>
        <v>比较价值（元/平方米）</v>
      </c>
      <c r="Q47" s="3213"/>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4"/>
      <c r="M48" s="1145"/>
      <c r="N48" s="1145"/>
      <c r="O48" s="1145"/>
      <c r="P48" s="3210" t="str">
        <f>A48</f>
        <v>估价对象XX用房的比较价值（楼面单价，元/平方米）</v>
      </c>
      <c r="Q48" s="3211"/>
      <c r="R48" s="3241" t="e">
        <f>ROUND(AVERAGE(R47:V47),0)</f>
        <v>#DIV/0!</v>
      </c>
      <c r="S48" s="3241"/>
      <c r="T48" s="3241"/>
      <c r="U48" s="3241"/>
      <c r="V48" s="3241"/>
      <c r="W48" s="3241"/>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5" t="s">
        <v>2758</v>
      </c>
      <c r="D55" s="2706" t="s">
        <v>2759</v>
      </c>
      <c r="E55" s="686" t="s">
        <v>2760</v>
      </c>
      <c r="F55" s="1108" t="s">
        <v>2761</v>
      </c>
      <c r="G55" s="3196" t="s">
        <v>2762</v>
      </c>
      <c r="H55" s="3242"/>
      <c r="I55" s="144" t="s">
        <v>2763</v>
      </c>
      <c r="J55" s="2707">
        <f>项目基本情况!F35</f>
        <v>0</v>
      </c>
      <c r="K55" s="2708" t="s">
        <v>2764</v>
      </c>
      <c r="L55" s="1107"/>
      <c r="M55" s="1145"/>
      <c r="N55" s="1145"/>
      <c r="O55" s="1145"/>
    </row>
    <row r="56" spans="1:15" s="692" customFormat="1">
      <c r="A56" s="688" t="s">
        <v>2765</v>
      </c>
      <c r="B56" s="689" t="e">
        <f>C48</f>
        <v>#DIV/0!</v>
      </c>
      <c r="C56" s="690">
        <v>1</v>
      </c>
      <c r="D56" s="1164">
        <v>1</v>
      </c>
      <c r="E56" s="690">
        <f>'数据-汇总表'!E8+'数据-汇总表'!E9</f>
        <v>39258.17</v>
      </c>
      <c r="F56" s="1104" t="e">
        <f t="shared" ref="F56:F65" si="14">ROUND(B56*E56/10000,0)</f>
        <v>#DIV/0!</v>
      </c>
      <c r="G56" s="3195"/>
      <c r="H56" s="3213"/>
      <c r="I56" s="1109">
        <v>1</v>
      </c>
      <c r="J56" s="1112">
        <v>1</v>
      </c>
      <c r="K56" s="1146"/>
      <c r="L56" s="942"/>
      <c r="M56" s="942"/>
      <c r="N56" s="942"/>
      <c r="O56" s="942"/>
    </row>
    <row r="57" spans="1:15" s="692" customFormat="1">
      <c r="A57" s="693" t="s">
        <v>2766</v>
      </c>
      <c r="B57" s="262" t="e">
        <f>ROUND($C$48*C57*D57,0)</f>
        <v>#DIV/0!</v>
      </c>
      <c r="C57" s="200">
        <f t="shared" ref="C57:C65" si="15">IF($C$55="北京市系数",I57,J57)</f>
        <v>0.8</v>
      </c>
      <c r="D57" s="1165">
        <v>0.25</v>
      </c>
      <c r="E57" s="694"/>
      <c r="F57" s="1104" t="e">
        <f t="shared" si="14"/>
        <v>#DIV/0!</v>
      </c>
      <c r="G57" s="3243" t="s">
        <v>2767</v>
      </c>
      <c r="H57" s="1105" t="str">
        <f>项目基本情况!B37</f>
        <v>二级</v>
      </c>
      <c r="I57" s="1109">
        <f>SUMIF(修正!A45:A56,H57,修正!B45:B56)</f>
        <v>0.8</v>
      </c>
      <c r="J57" s="1113"/>
      <c r="K57" s="1145"/>
      <c r="L57" s="942"/>
      <c r="M57" s="942"/>
      <c r="N57" s="942"/>
      <c r="O57" s="942"/>
    </row>
    <row r="58" spans="1:15" s="692" customFormat="1">
      <c r="A58" s="693" t="s">
        <v>2768</v>
      </c>
      <c r="B58" s="262" t="e">
        <f t="shared" ref="B58:B65" si="16">ROUND($C$48*C58*D58,0)</f>
        <v>#DIV/0!</v>
      </c>
      <c r="C58" s="200">
        <f t="shared" si="15"/>
        <v>0.5</v>
      </c>
      <c r="D58" s="1165">
        <v>0.25</v>
      </c>
      <c r="E58" s="694"/>
      <c r="F58" s="1104" t="e">
        <f t="shared" si="14"/>
        <v>#DIV/0!</v>
      </c>
      <c r="G58" s="3243"/>
      <c r="H58" s="1105" t="str">
        <f>项目基本情况!B37</f>
        <v>二级</v>
      </c>
      <c r="I58" s="1109">
        <f>SUMIF(修正!A45:A56,H58,修正!C45:C56)</f>
        <v>0.5</v>
      </c>
      <c r="J58" s="1113"/>
      <c r="K58" s="1146"/>
      <c r="L58" s="942"/>
      <c r="M58" s="942"/>
      <c r="N58" s="942"/>
      <c r="O58" s="942"/>
    </row>
    <row r="59" spans="1:15" s="692" customFormat="1">
      <c r="A59" s="693" t="s">
        <v>2769</v>
      </c>
      <c r="B59" s="262" t="e">
        <f t="shared" si="16"/>
        <v>#DIV/0!</v>
      </c>
      <c r="C59" s="200">
        <f t="shared" si="15"/>
        <v>0.36</v>
      </c>
      <c r="D59" s="1165">
        <v>0.25</v>
      </c>
      <c r="E59" s="694"/>
      <c r="F59" s="1104" t="e">
        <f t="shared" si="14"/>
        <v>#DIV/0!</v>
      </c>
      <c r="G59" s="3243"/>
      <c r="H59" s="1105" t="str">
        <f>项目基本情况!B37</f>
        <v>二级</v>
      </c>
      <c r="I59" s="1109">
        <f>SUMIF(修正!A45:A56,H59,修正!D45:D56)</f>
        <v>0.36</v>
      </c>
      <c r="J59" s="1113"/>
      <c r="K59" s="1145"/>
      <c r="L59" s="942"/>
      <c r="M59" s="942"/>
      <c r="N59" s="942"/>
      <c r="O59" s="942"/>
    </row>
    <row r="60" spans="1:15" s="692" customFormat="1">
      <c r="A60" s="693" t="s">
        <v>2770</v>
      </c>
      <c r="B60" s="262" t="e">
        <f t="shared" si="16"/>
        <v>#DIV/0!</v>
      </c>
      <c r="C60" s="200">
        <f t="shared" si="15"/>
        <v>0.3</v>
      </c>
      <c r="D60" s="1165">
        <v>0.25</v>
      </c>
      <c r="E60" s="694"/>
      <c r="F60" s="1104" t="e">
        <f t="shared" si="14"/>
        <v>#DIV/0!</v>
      </c>
      <c r="G60" s="3243"/>
      <c r="H60" s="1105" t="str">
        <f>项目基本情况!B37</f>
        <v>二级</v>
      </c>
      <c r="I60" s="1109">
        <f>SUMIF(修正!A45:A56,H60,修正!E45:E56)</f>
        <v>0.3</v>
      </c>
      <c r="J60" s="1113"/>
      <c r="K60" s="1146"/>
      <c r="L60" s="942"/>
      <c r="M60" s="942"/>
      <c r="N60" s="942"/>
      <c r="O60" s="942"/>
    </row>
    <row r="61" spans="1:15" s="692" customFormat="1">
      <c r="A61" s="693" t="s">
        <v>2771</v>
      </c>
      <c r="B61" s="262" t="e">
        <f t="shared" si="16"/>
        <v>#DIV/0!</v>
      </c>
      <c r="C61" s="200">
        <f t="shared" si="15"/>
        <v>0.3</v>
      </c>
      <c r="D61" s="1165">
        <v>0.25</v>
      </c>
      <c r="E61" s="261">
        <f>'数据-汇总表'!E11</f>
        <v>672.66000000000008</v>
      </c>
      <c r="F61" s="1104" t="e">
        <f t="shared" si="14"/>
        <v>#DIV/0!</v>
      </c>
      <c r="G61" s="2709" t="s">
        <v>2772</v>
      </c>
      <c r="H61" s="1105" t="str">
        <f>项目基本情况!C37</f>
        <v>二级</v>
      </c>
      <c r="I61" s="1109">
        <f>SUMIF(修正!A45:A56,H61,修正!F45:F56)</f>
        <v>0.3</v>
      </c>
      <c r="J61" s="1113"/>
      <c r="K61" s="1145"/>
      <c r="L61" s="942"/>
      <c r="M61" s="942"/>
      <c r="N61" s="942"/>
      <c r="O61" s="942"/>
    </row>
    <row r="62" spans="1:15" s="692" customFormat="1">
      <c r="A62" s="693" t="s">
        <v>2773</v>
      </c>
      <c r="B62" s="262" t="e">
        <f t="shared" si="16"/>
        <v>#DIV/0!</v>
      </c>
      <c r="C62" s="200">
        <f t="shared" si="15"/>
        <v>0.3</v>
      </c>
      <c r="D62" s="1165">
        <v>0.25</v>
      </c>
      <c r="E62" s="261">
        <f>'数据-汇总表'!E12</f>
        <v>0</v>
      </c>
      <c r="F62" s="1104" t="e">
        <f t="shared" si="14"/>
        <v>#DIV/0!</v>
      </c>
      <c r="G62" s="1110" t="s">
        <v>2774</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2775</v>
      </c>
      <c r="B63" s="262" t="e">
        <f t="shared" si="16"/>
        <v>#DIV/0!</v>
      </c>
      <c r="C63" s="200">
        <f t="shared" si="15"/>
        <v>0</v>
      </c>
      <c r="D63" s="1165">
        <v>0.25</v>
      </c>
      <c r="E63" s="261">
        <f>'数据-汇总表'!E13</f>
        <v>6074.74</v>
      </c>
      <c r="F63" s="1104" t="e">
        <f t="shared" si="14"/>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6"/>
        <v>#DIV/0!</v>
      </c>
      <c r="C64" s="200">
        <f t="shared" si="15"/>
        <v>0.25</v>
      </c>
      <c r="D64" s="1165">
        <v>0.25</v>
      </c>
      <c r="E64" s="261">
        <f>'数据-汇总表'!E14</f>
        <v>0</v>
      </c>
      <c r="F64" s="1104" t="e">
        <f t="shared" si="14"/>
        <v>#DIV/0!</v>
      </c>
      <c r="G64" s="2709" t="s">
        <v>2767</v>
      </c>
      <c r="H64" s="1105" t="str">
        <f>项目基本情况!B37</f>
        <v>二级</v>
      </c>
      <c r="I64" s="1109">
        <f>SUMIF(修正!A45:A56,H64,修正!H45:H56)</f>
        <v>0.25</v>
      </c>
      <c r="J64" s="1113"/>
      <c r="K64" s="1146"/>
      <c r="L64" s="942"/>
      <c r="M64" s="942"/>
      <c r="N64" s="942"/>
      <c r="O64" s="942"/>
    </row>
    <row r="65" spans="1:17" s="692" customFormat="1" ht="15" thickBot="1">
      <c r="A65" s="693" t="s">
        <v>2778</v>
      </c>
      <c r="B65" s="262" t="e">
        <f t="shared" si="16"/>
        <v>#DIV/0!</v>
      </c>
      <c r="C65" s="200">
        <f t="shared" si="15"/>
        <v>0.25</v>
      </c>
      <c r="D65" s="1165">
        <v>0.25</v>
      </c>
      <c r="E65" s="261">
        <f>'数据-汇总表'!E15</f>
        <v>0</v>
      </c>
      <c r="F65" s="1104" t="e">
        <f t="shared" si="14"/>
        <v>#DIV/0!</v>
      </c>
      <c r="G65" s="2710" t="s">
        <v>2772</v>
      </c>
      <c r="H65" s="1115" t="str">
        <f>项目基本情况!C37</f>
        <v>二级</v>
      </c>
      <c r="I65" s="1111">
        <f>SUMIF(修正!A45:A56,H65,修正!H45:H56)</f>
        <v>0.25</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46005.57</v>
      </c>
      <c r="F66" s="697" t="e">
        <f>IF(B46="楼面地价",SUM(F56:F65),ROUND(C48*E66/10000,0))</f>
        <v>#DIV/0!</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2018-12-1</v>
      </c>
      <c r="D68" s="761">
        <f>EDATE(C68,-3)</f>
        <v>43344</v>
      </c>
      <c r="E68" s="761">
        <f>EDATE(D68,-3)</f>
        <v>43252</v>
      </c>
      <c r="F68" s="761">
        <f t="shared" ref="F68:O68" si="17">EDATE(E68,-3)</f>
        <v>43160</v>
      </c>
      <c r="G68" s="761">
        <f t="shared" si="17"/>
        <v>43070</v>
      </c>
      <c r="H68" s="761">
        <f t="shared" si="17"/>
        <v>42979</v>
      </c>
      <c r="I68" s="761">
        <f t="shared" si="17"/>
        <v>42887</v>
      </c>
      <c r="J68" s="761">
        <f t="shared" si="17"/>
        <v>42795</v>
      </c>
      <c r="K68" s="761">
        <f t="shared" si="17"/>
        <v>42705</v>
      </c>
      <c r="L68" s="761">
        <f t="shared" si="17"/>
        <v>42614</v>
      </c>
      <c r="M68" s="761">
        <f t="shared" si="17"/>
        <v>42522</v>
      </c>
      <c r="N68" s="761">
        <f t="shared" si="17"/>
        <v>42430</v>
      </c>
      <c r="O68" s="761">
        <f t="shared" si="17"/>
        <v>42339</v>
      </c>
    </row>
    <row r="69" spans="1:17" ht="21.75" thickBot="1">
      <c r="A69" s="763" t="s">
        <v>2672</v>
      </c>
      <c r="B69" s="759"/>
      <c r="C69" s="764"/>
      <c r="D69" s="764"/>
      <c r="E69" s="764"/>
      <c r="F69" s="765"/>
      <c r="G69" s="765"/>
      <c r="H69" s="764"/>
      <c r="I69" s="764"/>
      <c r="J69" s="1160"/>
      <c r="K69" s="1161"/>
      <c r="L69" s="1162"/>
      <c r="M69" s="1160"/>
      <c r="N69" s="1160"/>
      <c r="O69" s="1160"/>
      <c r="P69" s="503"/>
      <c r="Q69" s="504"/>
    </row>
    <row r="70" spans="1:17" s="508" customFormat="1" ht="15">
      <c r="A70" s="2711" t="s">
        <v>2780</v>
      </c>
      <c r="B70" s="1360"/>
      <c r="C70" s="1573" t="str">
        <f>YEAR(C68)&amp;"-"&amp;ROUNDUP(MONTH(C68)/3,0)</f>
        <v>2018-4</v>
      </c>
      <c r="D70" s="1573" t="str">
        <f>YEAR(D68)&amp;"-"&amp;ROUNDUP(MONTH(D68)/3,0)</f>
        <v>2018-3</v>
      </c>
      <c r="E70" s="1573" t="str">
        <f t="shared" ref="E70:O70" si="18">YEAR(E68)&amp;"-"&amp;ROUNDUP(MONTH(E68)/3,0)</f>
        <v>2018-2</v>
      </c>
      <c r="F70" s="1573" t="str">
        <f t="shared" si="18"/>
        <v>2018-1</v>
      </c>
      <c r="G70" s="1573" t="str">
        <f t="shared" si="18"/>
        <v>2017-4</v>
      </c>
      <c r="H70" s="1573" t="str">
        <f t="shared" si="18"/>
        <v>2017-3</v>
      </c>
      <c r="I70" s="1573" t="str">
        <f t="shared" si="18"/>
        <v>2017-2</v>
      </c>
      <c r="J70" s="1573" t="str">
        <f t="shared" si="18"/>
        <v>2017-1</v>
      </c>
      <c r="K70" s="1573" t="str">
        <f t="shared" si="18"/>
        <v>2016-4</v>
      </c>
      <c r="L70" s="1573" t="str">
        <f t="shared" si="18"/>
        <v>2016-3</v>
      </c>
      <c r="M70" s="1573" t="str">
        <f t="shared" si="18"/>
        <v>2016-2</v>
      </c>
      <c r="N70" s="1573" t="str">
        <f t="shared" si="18"/>
        <v>2016-1</v>
      </c>
      <c r="O70" s="1573" t="str">
        <f t="shared" si="18"/>
        <v>2015-4</v>
      </c>
      <c r="P70" s="507"/>
    </row>
    <row r="71" spans="1:17" s="117" customFormat="1" ht="30" customHeight="1">
      <c r="A71" s="2712" t="s">
        <v>2781</v>
      </c>
      <c r="B71" s="332" t="str">
        <f>"北京市平均增长率"&amp;TEXT(SUMIF(基准地价修正商业!N21:N25,A71,基准地价修正商业!P21:P25),"0.00%")</f>
        <v>北京市平均增长率2.41%</v>
      </c>
      <c r="C71" s="603">
        <v>100</v>
      </c>
      <c r="D71" s="595"/>
      <c r="E71" s="595"/>
      <c r="F71" s="595"/>
      <c r="G71" s="595"/>
      <c r="H71" s="595"/>
      <c r="I71" s="595"/>
      <c r="J71" s="595"/>
      <c r="K71" s="595"/>
      <c r="L71" s="595"/>
      <c r="M71" s="1568"/>
      <c r="N71" s="595"/>
      <c r="O71" s="1569"/>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1"/>
      <c r="M4" s="1132"/>
      <c r="N4" s="1132"/>
      <c r="O4" s="1132"/>
      <c r="P4" s="3200" t="s">
        <v>2649</v>
      </c>
      <c r="Q4" s="3201"/>
      <c r="R4" s="3183" t="s">
        <v>2645</v>
      </c>
      <c r="S4" s="3184"/>
      <c r="T4" s="3183" t="s">
        <v>2646</v>
      </c>
      <c r="U4" s="3184"/>
      <c r="V4" s="3208" t="s">
        <v>2647</v>
      </c>
      <c r="W4" s="3208"/>
      <c r="X4" s="1814"/>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1"/>
      <c r="M5" s="1132"/>
      <c r="N5" s="1132"/>
      <c r="O5" s="1132"/>
      <c r="P5" s="3202"/>
      <c r="Q5" s="3203"/>
      <c r="R5" s="3185"/>
      <c r="S5" s="3186"/>
      <c r="T5" s="3185"/>
      <c r="U5" s="3186"/>
      <c r="V5" s="3208"/>
      <c r="W5" s="3208"/>
      <c r="X5" s="1814"/>
      <c r="Y5" s="3185"/>
      <c r="Z5" s="3186"/>
      <c r="AA5" s="3179"/>
      <c r="AB5" s="3179"/>
      <c r="AC5" s="3179"/>
    </row>
    <row r="6" spans="1:29" ht="15.75" thickBot="1">
      <c r="A6" s="406"/>
      <c r="B6" s="407"/>
      <c r="C6" s="3244" t="s">
        <v>2795</v>
      </c>
      <c r="D6" s="3245"/>
      <c r="E6" s="3246" t="s">
        <v>2795</v>
      </c>
      <c r="F6" s="3247"/>
      <c r="G6" s="3244" t="s">
        <v>2795</v>
      </c>
      <c r="H6" s="3245"/>
      <c r="I6" s="3244" t="s">
        <v>2795</v>
      </c>
      <c r="J6" s="3245"/>
      <c r="K6" s="610" t="s">
        <v>2545</v>
      </c>
      <c r="L6" s="1131"/>
      <c r="M6" s="1132"/>
      <c r="N6" s="1132"/>
      <c r="O6" s="1132"/>
      <c r="P6" s="3204"/>
      <c r="Q6" s="3205"/>
      <c r="R6" s="3185"/>
      <c r="S6" s="3186"/>
      <c r="T6" s="3206"/>
      <c r="U6" s="3207"/>
      <c r="V6" s="3208"/>
      <c r="W6" s="3208"/>
      <c r="X6" s="1814"/>
      <c r="Y6" s="3206"/>
      <c r="Z6" s="3207"/>
      <c r="AA6" s="3180"/>
      <c r="AB6" s="3180"/>
      <c r="AC6" s="3180"/>
    </row>
    <row r="7" spans="1:29" s="117" customFormat="1" ht="15.75" thickBot="1">
      <c r="A7" s="408" t="s">
        <v>2546</v>
      </c>
      <c r="B7" s="409"/>
      <c r="C7" s="410">
        <f>'数据-取费表'!B2</f>
        <v>43458</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81" t="s">
        <v>2550</v>
      </c>
      <c r="Q8" s="3182"/>
      <c r="R8" s="770" t="s">
        <v>17</v>
      </c>
      <c r="S8" s="771">
        <f t="shared" si="0"/>
        <v>0</v>
      </c>
      <c r="T8" s="770" t="s">
        <v>17</v>
      </c>
      <c r="U8" s="771">
        <f t="shared" si="1"/>
        <v>0</v>
      </c>
      <c r="V8" s="770" t="s">
        <v>17</v>
      </c>
      <c r="W8" s="771">
        <f t="shared" si="2"/>
        <v>0</v>
      </c>
      <c r="X8" s="772"/>
      <c r="Y8" s="3181" t="s">
        <v>2550</v>
      </c>
      <c r="Z8" s="3182"/>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13" t="s">
        <v>2553</v>
      </c>
      <c r="Q9" s="1796"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13"/>
      <c r="Q10" s="1796" t="str">
        <f t="shared" si="6"/>
        <v>土地使用年限（年）</v>
      </c>
      <c r="R10" s="770" t="s">
        <v>17</v>
      </c>
      <c r="S10" s="771">
        <f t="shared" si="0"/>
        <v>110</v>
      </c>
      <c r="T10" s="770" t="s">
        <v>17</v>
      </c>
      <c r="U10" s="771">
        <f t="shared" si="1"/>
        <v>110</v>
      </c>
      <c r="V10" s="770" t="s">
        <v>17</v>
      </c>
      <c r="W10" s="771">
        <f t="shared" si="2"/>
        <v>110</v>
      </c>
      <c r="X10" s="772"/>
      <c r="Y10" s="3028"/>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13"/>
      <c r="Q11" s="1796"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13"/>
      <c r="Q12" s="1796">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13"/>
      <c r="Q13" s="1796">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13"/>
      <c r="Q14" s="1796">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5" t="s">
        <v>2558</v>
      </c>
      <c r="Q15" s="1811" t="str">
        <f t="shared" si="6"/>
        <v>产业集聚程度</v>
      </c>
      <c r="R15" s="774" t="s">
        <v>17</v>
      </c>
      <c r="S15" s="775">
        <f t="shared" si="0"/>
        <v>100</v>
      </c>
      <c r="T15" s="774" t="s">
        <v>17</v>
      </c>
      <c r="U15" s="775">
        <f t="shared" si="1"/>
        <v>100</v>
      </c>
      <c r="V15" s="774" t="s">
        <v>17</v>
      </c>
      <c r="W15" s="775">
        <f t="shared" si="2"/>
        <v>100</v>
      </c>
      <c r="X15" s="1814"/>
      <c r="Y15" s="3215" t="s">
        <v>2558</v>
      </c>
      <c r="Z15" s="1815" t="str">
        <f t="shared" si="7"/>
        <v>产业集聚程度</v>
      </c>
      <c r="AA15" s="1812">
        <f t="shared" si="3"/>
        <v>1</v>
      </c>
      <c r="AB15" s="1812">
        <f t="shared" si="4"/>
        <v>1</v>
      </c>
      <c r="AC15" s="1812">
        <f t="shared" si="5"/>
        <v>1</v>
      </c>
    </row>
    <row r="16" spans="1:29" ht="15">
      <c r="A16" s="428"/>
      <c r="B16" s="630"/>
      <c r="C16" s="447"/>
      <c r="D16" s="448"/>
      <c r="E16" s="2611"/>
      <c r="F16" s="448"/>
      <c r="G16" s="2611"/>
      <c r="H16" s="450"/>
      <c r="I16" s="2611"/>
      <c r="J16" s="448"/>
      <c r="K16" s="672"/>
      <c r="L16" s="1141"/>
      <c r="M16" s="1132"/>
      <c r="N16" s="1132"/>
      <c r="O16" s="1140"/>
      <c r="P16" s="3216"/>
      <c r="Q16" s="1811"/>
      <c r="R16" s="774"/>
      <c r="S16" s="775"/>
      <c r="T16" s="774"/>
      <c r="U16" s="775"/>
      <c r="V16" s="774"/>
      <c r="W16" s="775"/>
      <c r="X16" s="1814"/>
      <c r="Y16" s="3216"/>
      <c r="Z16" s="1815"/>
      <c r="AA16" s="1812">
        <v>1</v>
      </c>
      <c r="AB16" s="1812">
        <v>1</v>
      </c>
      <c r="AC16" s="1812">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6"/>
      <c r="Q17" s="1811" t="str">
        <f>B17</f>
        <v>交通便捷度</v>
      </c>
      <c r="R17" s="774" t="s">
        <v>17</v>
      </c>
      <c r="S17" s="775">
        <f>F17</f>
        <v>100</v>
      </c>
      <c r="T17" s="774" t="s">
        <v>17</v>
      </c>
      <c r="U17" s="775">
        <f>H17</f>
        <v>100</v>
      </c>
      <c r="V17" s="774" t="s">
        <v>17</v>
      </c>
      <c r="W17" s="775">
        <f>J17</f>
        <v>100</v>
      </c>
      <c r="X17" s="1814"/>
      <c r="Y17" s="3216"/>
      <c r="Z17" s="1815" t="str">
        <f>Q17</f>
        <v>交通便捷度</v>
      </c>
      <c r="AA17" s="1812">
        <f t="shared" si="3"/>
        <v>1</v>
      </c>
      <c r="AB17" s="1812">
        <f t="shared" si="4"/>
        <v>1</v>
      </c>
      <c r="AC17" s="1812">
        <f t="shared" si="5"/>
        <v>1</v>
      </c>
    </row>
    <row r="18" spans="1:29" ht="15">
      <c r="A18" s="428"/>
      <c r="B18" s="632"/>
      <c r="C18" s="447"/>
      <c r="D18" s="448"/>
      <c r="E18" s="2605"/>
      <c r="F18" s="448"/>
      <c r="G18" s="2605"/>
      <c r="H18" s="448"/>
      <c r="I18" s="2604"/>
      <c r="J18" s="448"/>
      <c r="K18" s="672"/>
      <c r="L18" s="1141"/>
      <c r="M18" s="1132"/>
      <c r="N18" s="1132"/>
      <c r="O18" s="1140"/>
      <c r="P18" s="3216"/>
      <c r="Q18" s="1811"/>
      <c r="R18" s="774"/>
      <c r="S18" s="775"/>
      <c r="T18" s="774"/>
      <c r="U18" s="775"/>
      <c r="V18" s="774"/>
      <c r="W18" s="775"/>
      <c r="X18" s="1814"/>
      <c r="Y18" s="3216"/>
      <c r="Z18" s="1815"/>
      <c r="AA18" s="1812">
        <v>1</v>
      </c>
      <c r="AB18" s="1812">
        <v>1</v>
      </c>
      <c r="AC18" s="1812">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6"/>
      <c r="Q19" s="1811" t="str">
        <f t="shared" ref="Q19:Q33" si="8">B19</f>
        <v>区域土地利用方向</v>
      </c>
      <c r="R19" s="774" t="s">
        <v>17</v>
      </c>
      <c r="S19" s="775">
        <f>F19</f>
        <v>100</v>
      </c>
      <c r="T19" s="774" t="s">
        <v>17</v>
      </c>
      <c r="U19" s="775">
        <f>H19</f>
        <v>100</v>
      </c>
      <c r="V19" s="774" t="s">
        <v>17</v>
      </c>
      <c r="W19" s="775">
        <f>J19</f>
        <v>100</v>
      </c>
      <c r="X19" s="1814"/>
      <c r="Y19" s="3216"/>
      <c r="Z19" s="1815" t="str">
        <f>Q19</f>
        <v>区域土地利用方向</v>
      </c>
      <c r="AA19" s="1812">
        <f t="shared" si="3"/>
        <v>1</v>
      </c>
      <c r="AB19" s="1812">
        <f t="shared" si="4"/>
        <v>1</v>
      </c>
      <c r="AC19" s="1812">
        <f t="shared" si="5"/>
        <v>1</v>
      </c>
    </row>
    <row r="20" spans="1:29" ht="15">
      <c r="A20" s="404"/>
      <c r="B20" s="632"/>
      <c r="C20" s="447"/>
      <c r="D20" s="448"/>
      <c r="E20" s="2605"/>
      <c r="F20" s="448"/>
      <c r="G20" s="2605"/>
      <c r="H20" s="448"/>
      <c r="I20" s="2605"/>
      <c r="J20" s="448"/>
      <c r="K20" s="810"/>
      <c r="L20" s="1141"/>
      <c r="M20" s="1132"/>
      <c r="N20" s="1132"/>
      <c r="O20" s="1140"/>
      <c r="P20" s="3216"/>
      <c r="Q20" s="1811"/>
      <c r="R20" s="774"/>
      <c r="S20" s="775"/>
      <c r="T20" s="774"/>
      <c r="U20" s="775"/>
      <c r="V20" s="774"/>
      <c r="W20" s="775"/>
      <c r="X20" s="1814"/>
      <c r="Y20" s="3216"/>
      <c r="Z20" s="1815"/>
      <c r="AA20" s="1812"/>
      <c r="AB20" s="1812"/>
      <c r="AC20" s="1812"/>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6"/>
      <c r="Q21" s="1811" t="str">
        <f t="shared" si="8"/>
        <v>环境状况</v>
      </c>
      <c r="R21" s="774" t="s">
        <v>17</v>
      </c>
      <c r="S21" s="775">
        <f>F21</f>
        <v>100</v>
      </c>
      <c r="T21" s="774" t="s">
        <v>17</v>
      </c>
      <c r="U21" s="775">
        <f>H21</f>
        <v>100</v>
      </c>
      <c r="V21" s="774" t="s">
        <v>17</v>
      </c>
      <c r="W21" s="775">
        <f>J21</f>
        <v>100</v>
      </c>
      <c r="X21" s="1814"/>
      <c r="Y21" s="3216"/>
      <c r="Z21" s="1815" t="str">
        <f>Q21</f>
        <v>环境状况</v>
      </c>
      <c r="AA21" s="1812">
        <f t="shared" si="3"/>
        <v>1</v>
      </c>
      <c r="AB21" s="1812">
        <f t="shared" si="4"/>
        <v>1</v>
      </c>
      <c r="AC21" s="1812">
        <f t="shared" si="5"/>
        <v>1</v>
      </c>
    </row>
    <row r="22" spans="1:29" ht="15">
      <c r="A22" s="404"/>
      <c r="B22" s="632"/>
      <c r="C22" s="447"/>
      <c r="D22" s="448"/>
      <c r="E22" s="2611"/>
      <c r="F22" s="448"/>
      <c r="G22" s="2611"/>
      <c r="H22" s="448"/>
      <c r="I22" s="447"/>
      <c r="J22" s="448"/>
      <c r="K22" s="672"/>
      <c r="L22" s="1141"/>
      <c r="M22" s="1132"/>
      <c r="N22" s="1132"/>
      <c r="O22" s="1140"/>
      <c r="P22" s="3216"/>
      <c r="Q22" s="1811"/>
      <c r="R22" s="774"/>
      <c r="S22" s="775"/>
      <c r="T22" s="774"/>
      <c r="U22" s="775"/>
      <c r="V22" s="774"/>
      <c r="W22" s="775"/>
      <c r="X22" s="1814"/>
      <c r="Y22" s="3216"/>
      <c r="Z22" s="1815"/>
      <c r="AA22" s="1812">
        <v>1</v>
      </c>
      <c r="AB22" s="1812">
        <v>1</v>
      </c>
      <c r="AC22" s="1812">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6"/>
      <c r="Q23" s="1796" t="str">
        <f t="shared" si="8"/>
        <v>公共配套设施</v>
      </c>
      <c r="R23" s="770" t="s">
        <v>17</v>
      </c>
      <c r="S23" s="771">
        <f>F23</f>
        <v>100</v>
      </c>
      <c r="T23" s="770" t="s">
        <v>17</v>
      </c>
      <c r="U23" s="771">
        <f>H23</f>
        <v>100</v>
      </c>
      <c r="V23" s="770" t="s">
        <v>17</v>
      </c>
      <c r="W23" s="771">
        <f>J23</f>
        <v>100</v>
      </c>
      <c r="X23" s="772"/>
      <c r="Y23" s="3216"/>
      <c r="Z23" s="55" t="str">
        <f>Q23</f>
        <v>公共配套设施</v>
      </c>
      <c r="AA23" s="1812">
        <f>D23/F23</f>
        <v>1</v>
      </c>
      <c r="AB23" s="1812">
        <f>D23/H23</f>
        <v>1</v>
      </c>
      <c r="AC23" s="1812">
        <f>D23/J23</f>
        <v>1</v>
      </c>
    </row>
    <row r="24" spans="1:29" s="117" customFormat="1" ht="15">
      <c r="A24" s="649"/>
      <c r="B24" s="632"/>
      <c r="C24" s="2700"/>
      <c r="D24" s="448"/>
      <c r="E24" s="2611"/>
      <c r="F24" s="448"/>
      <c r="G24" s="2611"/>
      <c r="H24" s="448"/>
      <c r="I24" s="447"/>
      <c r="J24" s="448"/>
      <c r="K24" s="672"/>
      <c r="L24" s="1133"/>
      <c r="M24" s="1134"/>
      <c r="N24" s="1134"/>
      <c r="O24" s="1135"/>
      <c r="P24" s="3216"/>
      <c r="Q24" s="1796"/>
      <c r="R24" s="770"/>
      <c r="S24" s="771"/>
      <c r="T24" s="770"/>
      <c r="U24" s="771"/>
      <c r="V24" s="770"/>
      <c r="W24" s="771"/>
      <c r="X24" s="772"/>
      <c r="Y24" s="3216"/>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6"/>
      <c r="Q25" s="1796" t="str">
        <f>B25</f>
        <v>基础设施水平</v>
      </c>
      <c r="R25" s="770" t="s">
        <v>17</v>
      </c>
      <c r="S25" s="771">
        <f>F25</f>
        <v>100</v>
      </c>
      <c r="T25" s="770" t="s">
        <v>17</v>
      </c>
      <c r="U25" s="771">
        <f>H25</f>
        <v>100</v>
      </c>
      <c r="V25" s="770" t="s">
        <v>17</v>
      </c>
      <c r="W25" s="771">
        <f>J25</f>
        <v>100</v>
      </c>
      <c r="X25" s="772"/>
      <c r="Y25" s="3216"/>
      <c r="Z25" s="55" t="str">
        <f>Q25</f>
        <v>基础设施水平</v>
      </c>
      <c r="AA25" s="1812">
        <f>D25/F25</f>
        <v>1</v>
      </c>
      <c r="AB25" s="1812">
        <f>D25/H25</f>
        <v>1</v>
      </c>
      <c r="AC25" s="1812">
        <f>D25/J25</f>
        <v>1</v>
      </c>
    </row>
    <row r="26" spans="1:29" s="117" customFormat="1" ht="15">
      <c r="A26" s="649"/>
      <c r="B26" s="632"/>
      <c r="C26" s="2700"/>
      <c r="D26" s="448"/>
      <c r="E26" s="2701"/>
      <c r="F26" s="448"/>
      <c r="G26" s="2701"/>
      <c r="H26" s="448"/>
      <c r="I26" s="2701"/>
      <c r="J26" s="448"/>
      <c r="K26" s="672"/>
      <c r="L26" s="1133"/>
      <c r="M26" s="1134"/>
      <c r="N26" s="1134"/>
      <c r="O26" s="1135"/>
      <c r="P26" s="3216"/>
      <c r="Q26" s="1796"/>
      <c r="R26" s="770"/>
      <c r="S26" s="771"/>
      <c r="T26" s="770"/>
      <c r="U26" s="771"/>
      <c r="V26" s="770"/>
      <c r="W26" s="771"/>
      <c r="X26" s="772"/>
      <c r="Y26" s="321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6"/>
      <c r="Q27" s="1811" t="str">
        <f t="shared" si="8"/>
        <v>临街状况</v>
      </c>
      <c r="R27" s="774" t="s">
        <v>17</v>
      </c>
      <c r="S27" s="775">
        <f t="shared" ref="S27:S40" si="9">F27</f>
        <v>100</v>
      </c>
      <c r="T27" s="774" t="s">
        <v>17</v>
      </c>
      <c r="U27" s="775">
        <f t="shared" ref="U27:U40" si="10">H27</f>
        <v>100</v>
      </c>
      <c r="V27" s="774" t="s">
        <v>17</v>
      </c>
      <c r="W27" s="775">
        <f t="shared" ref="W27:W40" si="11">J27</f>
        <v>100</v>
      </c>
      <c r="X27" s="1814"/>
      <c r="Y27" s="3216"/>
      <c r="Z27" s="1815" t="str">
        <f t="shared" ref="Z27:Z40" si="12">Q27</f>
        <v>临街状况</v>
      </c>
      <c r="AA27" s="1812">
        <f t="shared" si="3"/>
        <v>1</v>
      </c>
      <c r="AB27" s="1812">
        <f t="shared" si="4"/>
        <v>1</v>
      </c>
      <c r="AC27" s="1812">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6"/>
      <c r="Q28" s="1811" t="str">
        <f t="shared" si="8"/>
        <v>毗邻道路的类型与等级</v>
      </c>
      <c r="R28" s="774" t="s">
        <v>17</v>
      </c>
      <c r="S28" s="775">
        <f t="shared" si="9"/>
        <v>100</v>
      </c>
      <c r="T28" s="774" t="s">
        <v>17</v>
      </c>
      <c r="U28" s="775">
        <f t="shared" si="10"/>
        <v>100</v>
      </c>
      <c r="V28" s="774" t="s">
        <v>17</v>
      </c>
      <c r="W28" s="775">
        <f t="shared" si="11"/>
        <v>100</v>
      </c>
      <c r="X28" s="1814"/>
      <c r="Y28" s="3216"/>
      <c r="Z28" s="1815" t="str">
        <f t="shared" si="12"/>
        <v>毗邻道路的类型与等级</v>
      </c>
      <c r="AA28" s="1812">
        <f t="shared" si="3"/>
        <v>1</v>
      </c>
      <c r="AB28" s="1812">
        <f t="shared" si="4"/>
        <v>1</v>
      </c>
      <c r="AC28" s="1812">
        <f t="shared" si="5"/>
        <v>1</v>
      </c>
    </row>
    <row r="29" spans="1:29" ht="15">
      <c r="A29" s="428"/>
      <c r="B29" s="632"/>
      <c r="C29" s="447"/>
      <c r="D29" s="448"/>
      <c r="E29" s="2611"/>
      <c r="F29" s="448"/>
      <c r="G29" s="2611"/>
      <c r="H29" s="448"/>
      <c r="I29" s="2611"/>
      <c r="J29" s="448"/>
      <c r="K29" s="613"/>
      <c r="L29" s="1141"/>
      <c r="M29" s="1132"/>
      <c r="N29" s="1132"/>
      <c r="O29" s="1140"/>
      <c r="P29" s="3216"/>
      <c r="Q29" s="1811"/>
      <c r="R29" s="774"/>
      <c r="S29" s="775"/>
      <c r="T29" s="774"/>
      <c r="U29" s="775"/>
      <c r="V29" s="774"/>
      <c r="W29" s="775"/>
      <c r="X29" s="1814"/>
      <c r="Y29" s="3216"/>
      <c r="Z29" s="1815"/>
      <c r="AA29" s="1812">
        <v>1</v>
      </c>
      <c r="AB29" s="1812">
        <v>1</v>
      </c>
      <c r="AC29" s="1812">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6"/>
      <c r="Q30" s="1811" t="str">
        <f t="shared" si="8"/>
        <v>土地级别</v>
      </c>
      <c r="R30" s="774" t="s">
        <v>17</v>
      </c>
      <c r="S30" s="775">
        <f t="shared" si="9"/>
        <v>100</v>
      </c>
      <c r="T30" s="774" t="s">
        <v>17</v>
      </c>
      <c r="U30" s="775">
        <f t="shared" si="10"/>
        <v>100</v>
      </c>
      <c r="V30" s="774" t="s">
        <v>17</v>
      </c>
      <c r="W30" s="775">
        <f t="shared" si="11"/>
        <v>100</v>
      </c>
      <c r="X30" s="1814"/>
      <c r="Y30" s="3216"/>
      <c r="Z30" s="1815" t="str">
        <f t="shared" si="12"/>
        <v>土地级别</v>
      </c>
      <c r="AA30" s="1812">
        <f t="shared" si="3"/>
        <v>1</v>
      </c>
      <c r="AB30" s="1812">
        <f t="shared" si="4"/>
        <v>1</v>
      </c>
      <c r="AC30" s="1812">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6"/>
      <c r="Q31" s="1811">
        <f t="shared" si="8"/>
        <v>111</v>
      </c>
      <c r="R31" s="774" t="s">
        <v>17</v>
      </c>
      <c r="S31" s="775">
        <f t="shared" si="9"/>
        <v>100</v>
      </c>
      <c r="T31" s="774" t="s">
        <v>17</v>
      </c>
      <c r="U31" s="775">
        <f t="shared" si="10"/>
        <v>100</v>
      </c>
      <c r="V31" s="774" t="s">
        <v>17</v>
      </c>
      <c r="W31" s="775">
        <f t="shared" si="11"/>
        <v>100</v>
      </c>
      <c r="X31" s="1814"/>
      <c r="Y31" s="3216"/>
      <c r="Z31" s="1815">
        <f t="shared" si="12"/>
        <v>111</v>
      </c>
      <c r="AA31" s="1812">
        <f t="shared" si="3"/>
        <v>1</v>
      </c>
      <c r="AB31" s="1812">
        <f t="shared" si="4"/>
        <v>1</v>
      </c>
      <c r="AC31" s="1812">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9" t="s">
        <v>2563</v>
      </c>
      <c r="Q32" s="1811">
        <f t="shared" si="8"/>
        <v>111</v>
      </c>
      <c r="R32" s="774" t="s">
        <v>17</v>
      </c>
      <c r="S32" s="775">
        <f t="shared" si="9"/>
        <v>100</v>
      </c>
      <c r="T32" s="774" t="s">
        <v>17</v>
      </c>
      <c r="U32" s="775">
        <f t="shared" si="10"/>
        <v>100</v>
      </c>
      <c r="V32" s="774" t="s">
        <v>17</v>
      </c>
      <c r="W32" s="775">
        <f t="shared" si="11"/>
        <v>100</v>
      </c>
      <c r="X32" s="1814"/>
      <c r="Y32" s="3220" t="s">
        <v>2563</v>
      </c>
      <c r="Z32" s="1815">
        <f t="shared" si="12"/>
        <v>111</v>
      </c>
      <c r="AA32" s="1812">
        <f t="shared" si="3"/>
        <v>1</v>
      </c>
      <c r="AB32" s="1812">
        <f t="shared" si="4"/>
        <v>1</v>
      </c>
      <c r="AC32" s="1812">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20"/>
      <c r="Q33" s="1811">
        <f t="shared" si="8"/>
        <v>111</v>
      </c>
      <c r="R33" s="777" t="s">
        <v>17</v>
      </c>
      <c r="S33" s="778">
        <f t="shared" si="9"/>
        <v>100</v>
      </c>
      <c r="T33" s="777" t="s">
        <v>17</v>
      </c>
      <c r="U33" s="778">
        <f t="shared" si="10"/>
        <v>100</v>
      </c>
      <c r="V33" s="777" t="s">
        <v>17</v>
      </c>
      <c r="W33" s="778">
        <f t="shared" si="11"/>
        <v>100</v>
      </c>
      <c r="X33" s="779"/>
      <c r="Y33" s="3220"/>
      <c r="Z33" s="780">
        <f t="shared" si="12"/>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20"/>
      <c r="Q34" s="1811" t="str">
        <f>B34</f>
        <v>宗地面积</v>
      </c>
      <c r="R34" s="774" t="s">
        <v>17</v>
      </c>
      <c r="S34" s="775" t="e">
        <f t="shared" si="9"/>
        <v>#N/A</v>
      </c>
      <c r="T34" s="774" t="s">
        <v>17</v>
      </c>
      <c r="U34" s="775" t="e">
        <f t="shared" si="10"/>
        <v>#N/A</v>
      </c>
      <c r="V34" s="774" t="s">
        <v>17</v>
      </c>
      <c r="W34" s="775" t="e">
        <f t="shared" si="11"/>
        <v>#N/A</v>
      </c>
      <c r="X34" s="1814"/>
      <c r="Y34" s="3220"/>
      <c r="Z34" s="1815" t="str">
        <f t="shared" si="12"/>
        <v>宗地面积</v>
      </c>
      <c r="AA34" s="1812" t="e">
        <f t="shared" si="3"/>
        <v>#N/A</v>
      </c>
      <c r="AB34" s="1812" t="e">
        <f t="shared" si="4"/>
        <v>#N/A</v>
      </c>
      <c r="AC34" s="1812"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1"/>
      <c r="M35" s="1132"/>
      <c r="N35" s="1132"/>
      <c r="O35" s="1140"/>
      <c r="P35" s="3220"/>
      <c r="Q35" s="1811" t="str">
        <f t="shared" ref="Q35:Q40" si="13">B35</f>
        <v>宗地形状</v>
      </c>
      <c r="R35" s="774" t="s">
        <v>17</v>
      </c>
      <c r="S35" s="775">
        <f t="shared" si="9"/>
        <v>100</v>
      </c>
      <c r="T35" s="774" t="s">
        <v>17</v>
      </c>
      <c r="U35" s="775">
        <f t="shared" si="10"/>
        <v>100</v>
      </c>
      <c r="V35" s="774" t="s">
        <v>17</v>
      </c>
      <c r="W35" s="775">
        <f t="shared" si="11"/>
        <v>100</v>
      </c>
      <c r="X35" s="1814"/>
      <c r="Y35" s="3220"/>
      <c r="Z35" s="1815" t="str">
        <f t="shared" si="12"/>
        <v>宗地形状</v>
      </c>
      <c r="AA35" s="1812">
        <f t="shared" si="3"/>
        <v>1</v>
      </c>
      <c r="AB35" s="1812">
        <f t="shared" si="4"/>
        <v>1</v>
      </c>
      <c r="AC35" s="1812">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20"/>
      <c r="Q36" s="1811" t="str">
        <f t="shared" si="13"/>
        <v>宗地开发程度</v>
      </c>
      <c r="R36" s="770" t="s">
        <v>17</v>
      </c>
      <c r="S36" s="771">
        <f t="shared" si="9"/>
        <v>100</v>
      </c>
      <c r="T36" s="770" t="s">
        <v>17</v>
      </c>
      <c r="U36" s="771">
        <f t="shared" si="10"/>
        <v>100</v>
      </c>
      <c r="V36" s="770" t="s">
        <v>17</v>
      </c>
      <c r="W36" s="771">
        <f t="shared" si="11"/>
        <v>100</v>
      </c>
      <c r="X36" s="772"/>
      <c r="Y36" s="3220"/>
      <c r="Z36" s="55" t="str">
        <f t="shared" si="12"/>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1"/>
      <c r="M37" s="1132"/>
      <c r="N37" s="1132"/>
      <c r="O37" s="1140"/>
      <c r="P37" s="3220" t="s">
        <v>2563</v>
      </c>
      <c r="Q37" s="1811" t="str">
        <f t="shared" si="13"/>
        <v>工程地质条件</v>
      </c>
      <c r="R37" s="774" t="s">
        <v>17</v>
      </c>
      <c r="S37" s="775">
        <f t="shared" si="9"/>
        <v>100</v>
      </c>
      <c r="T37" s="774" t="s">
        <v>17</v>
      </c>
      <c r="U37" s="775">
        <f t="shared" si="10"/>
        <v>100</v>
      </c>
      <c r="V37" s="774" t="s">
        <v>17</v>
      </c>
      <c r="W37" s="775">
        <f t="shared" si="11"/>
        <v>100</v>
      </c>
      <c r="X37" s="1814"/>
      <c r="Y37" s="3220" t="s">
        <v>2563</v>
      </c>
      <c r="Z37" s="1815" t="str">
        <f t="shared" si="12"/>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20"/>
      <c r="Q38" s="1811">
        <f t="shared" si="13"/>
        <v>111</v>
      </c>
      <c r="R38" s="774" t="s">
        <v>17</v>
      </c>
      <c r="S38" s="775">
        <f t="shared" si="9"/>
        <v>100</v>
      </c>
      <c r="T38" s="774" t="s">
        <v>17</v>
      </c>
      <c r="U38" s="775">
        <f t="shared" si="10"/>
        <v>100</v>
      </c>
      <c r="V38" s="774" t="s">
        <v>17</v>
      </c>
      <c r="W38" s="775">
        <f t="shared" si="11"/>
        <v>100</v>
      </c>
      <c r="X38" s="1814"/>
      <c r="Y38" s="3220"/>
      <c r="Z38" s="1815">
        <f t="shared" si="12"/>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20"/>
      <c r="Q39" s="1811">
        <f t="shared" si="13"/>
        <v>111</v>
      </c>
      <c r="R39" s="774" t="s">
        <v>17</v>
      </c>
      <c r="S39" s="775">
        <f t="shared" si="9"/>
        <v>100</v>
      </c>
      <c r="T39" s="774" t="s">
        <v>17</v>
      </c>
      <c r="U39" s="775">
        <f t="shared" si="10"/>
        <v>100</v>
      </c>
      <c r="V39" s="774" t="s">
        <v>17</v>
      </c>
      <c r="W39" s="775">
        <f t="shared" si="11"/>
        <v>100</v>
      </c>
      <c r="X39" s="1814"/>
      <c r="Y39" s="3220"/>
      <c r="Z39" s="1815">
        <f t="shared" si="12"/>
        <v>111</v>
      </c>
      <c r="AA39" s="1812">
        <f t="shared" si="3"/>
        <v>1</v>
      </c>
      <c r="AB39" s="1812">
        <f t="shared" si="4"/>
        <v>1</v>
      </c>
      <c r="AC39" s="1812">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20"/>
      <c r="Q40" s="1811">
        <f t="shared" si="13"/>
        <v>111</v>
      </c>
      <c r="R40" s="777" t="s">
        <v>17</v>
      </c>
      <c r="S40" s="778">
        <f t="shared" si="9"/>
        <v>100</v>
      </c>
      <c r="T40" s="777" t="s">
        <v>17</v>
      </c>
      <c r="U40" s="778">
        <f t="shared" si="10"/>
        <v>100</v>
      </c>
      <c r="V40" s="777" t="s">
        <v>17</v>
      </c>
      <c r="W40" s="778">
        <f t="shared" si="11"/>
        <v>100</v>
      </c>
      <c r="X40" s="779"/>
      <c r="Y40" s="3220"/>
      <c r="Z40" s="780">
        <f t="shared" si="12"/>
        <v>111</v>
      </c>
      <c r="AA40" s="1812">
        <f t="shared" si="3"/>
        <v>1</v>
      </c>
      <c r="AB40" s="1812">
        <f t="shared" si="4"/>
        <v>1</v>
      </c>
      <c r="AC40" s="1812">
        <f t="shared" si="5"/>
        <v>1</v>
      </c>
    </row>
    <row r="41" spans="1:29" ht="15">
      <c r="A41" s="479" t="s">
        <v>2718</v>
      </c>
      <c r="B41" s="2704" t="s">
        <v>2798</v>
      </c>
      <c r="C41" s="682" t="s">
        <v>1</v>
      </c>
      <c r="D41" s="481"/>
      <c r="E41" s="482"/>
      <c r="F41" s="483"/>
      <c r="G41" s="484"/>
      <c r="H41" s="485"/>
      <c r="I41" s="482"/>
      <c r="J41" s="485"/>
      <c r="K41" s="783"/>
      <c r="L41" s="1144"/>
      <c r="M41" s="1132"/>
      <c r="N41" s="1132"/>
      <c r="O41" s="1145"/>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213" t="str">
        <f>A42</f>
        <v>比较价值（元/平方米）</v>
      </c>
      <c r="Q42" s="3213"/>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4"/>
      <c r="M43" s="1132"/>
      <c r="N43" s="1132"/>
      <c r="O43" s="1145"/>
      <c r="P43" s="3210" t="str">
        <f>A43</f>
        <v>估价对象XX用房的比较价值（楼面单价，元/平方米）</v>
      </c>
      <c r="Q43" s="3211"/>
      <c r="R43" s="3241" t="e">
        <f>ROUND(AVERAGE(R42:V42),0)</f>
        <v>#DIV/0!</v>
      </c>
      <c r="S43" s="3241"/>
      <c r="T43" s="3241"/>
      <c r="U43" s="3241"/>
      <c r="V43" s="3241"/>
      <c r="W43" s="3241"/>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2756</v>
      </c>
      <c r="B50" s="685" t="s">
        <v>2757</v>
      </c>
      <c r="C50" s="2705" t="s">
        <v>2758</v>
      </c>
      <c r="D50" s="2706" t="s">
        <v>2759</v>
      </c>
      <c r="E50" s="686" t="s">
        <v>2760</v>
      </c>
      <c r="F50" s="687" t="s">
        <v>2761</v>
      </c>
      <c r="G50" s="3196" t="s">
        <v>2762</v>
      </c>
      <c r="H50" s="3242"/>
      <c r="I50" s="1815" t="s">
        <v>2799</v>
      </c>
      <c r="J50" s="1815">
        <f>项目基本情况!F35</f>
        <v>0</v>
      </c>
      <c r="K50" s="2708" t="s">
        <v>2764</v>
      </c>
      <c r="L50" s="1107"/>
      <c r="M50" s="1145"/>
      <c r="N50" s="1145"/>
      <c r="O50" s="1145"/>
    </row>
    <row r="51" spans="1:17" s="692" customFormat="1">
      <c r="A51" s="688" t="s">
        <v>2765</v>
      </c>
      <c r="B51" s="689" t="e">
        <f>C43</f>
        <v>#DIV/0!</v>
      </c>
      <c r="C51" s="690">
        <v>1</v>
      </c>
      <c r="D51" s="1164">
        <v>1</v>
      </c>
      <c r="E51" s="690">
        <f>'数据-汇总表'!E8+'数据-汇总表'!E9</f>
        <v>39258.17</v>
      </c>
      <c r="F51" s="691" t="e">
        <f t="shared" ref="F51:F60" si="14">ROUND(B51*E51/10000,0)</f>
        <v>#DIV/0!</v>
      </c>
      <c r="G51" s="3195"/>
      <c r="H51" s="3213"/>
      <c r="I51" s="943">
        <v>1</v>
      </c>
      <c r="J51" s="943">
        <v>1</v>
      </c>
      <c r="K51" s="1146"/>
      <c r="L51" s="942"/>
      <c r="M51" s="942"/>
      <c r="N51" s="942"/>
      <c r="O51" s="942"/>
    </row>
    <row r="52" spans="1:17" s="692" customFormat="1">
      <c r="A52" s="693" t="s">
        <v>2766</v>
      </c>
      <c r="B52" s="262" t="e">
        <f>ROUND($C$43*C52*D52,0)</f>
        <v>#DIV/0!</v>
      </c>
      <c r="C52" s="200">
        <f t="shared" ref="C52:C60" si="15">IF($C$50="北京市系数",I52,J52)</f>
        <v>0.8</v>
      </c>
      <c r="D52" s="1165">
        <v>0.25</v>
      </c>
      <c r="E52" s="694"/>
      <c r="F52" s="691" t="e">
        <f t="shared" si="14"/>
        <v>#DIV/0!</v>
      </c>
      <c r="G52" s="3243" t="s">
        <v>2767</v>
      </c>
      <c r="H52" s="1105" t="str">
        <f>项目基本情况!B37</f>
        <v>二级</v>
      </c>
      <c r="I52" s="943">
        <f>SUMIF(修正!A45:A56,H52,修正!B45:B56)</f>
        <v>0.8</v>
      </c>
      <c r="J52" s="944"/>
      <c r="K52" s="1145"/>
      <c r="L52" s="942"/>
      <c r="M52" s="942"/>
      <c r="N52" s="942"/>
      <c r="O52" s="942"/>
    </row>
    <row r="53" spans="1:17" s="692" customFormat="1">
      <c r="A53" s="693" t="s">
        <v>2768</v>
      </c>
      <c r="B53" s="262" t="e">
        <f t="shared" ref="B53:B60" si="16">ROUND($C$43*C53*D53,0)</f>
        <v>#DIV/0!</v>
      </c>
      <c r="C53" s="200">
        <f t="shared" si="15"/>
        <v>0.5</v>
      </c>
      <c r="D53" s="1165">
        <v>0.25</v>
      </c>
      <c r="E53" s="694"/>
      <c r="F53" s="691" t="e">
        <f t="shared" si="14"/>
        <v>#DIV/0!</v>
      </c>
      <c r="G53" s="3243"/>
      <c r="H53" s="1105" t="str">
        <f>项目基本情况!B37</f>
        <v>二级</v>
      </c>
      <c r="I53" s="943">
        <f>SUMIF(修正!A45:A56,H53,修正!C45:C56)</f>
        <v>0.5</v>
      </c>
      <c r="J53" s="944"/>
      <c r="K53" s="1146"/>
      <c r="L53" s="942"/>
      <c r="M53" s="942"/>
      <c r="N53" s="942"/>
      <c r="O53" s="942"/>
    </row>
    <row r="54" spans="1:17" s="692" customFormat="1">
      <c r="A54" s="693" t="s">
        <v>2769</v>
      </c>
      <c r="B54" s="262" t="e">
        <f t="shared" si="16"/>
        <v>#DIV/0!</v>
      </c>
      <c r="C54" s="200">
        <f t="shared" si="15"/>
        <v>0.36</v>
      </c>
      <c r="D54" s="1165">
        <v>0.25</v>
      </c>
      <c r="E54" s="694"/>
      <c r="F54" s="691" t="e">
        <f t="shared" si="14"/>
        <v>#DIV/0!</v>
      </c>
      <c r="G54" s="3243"/>
      <c r="H54" s="1105" t="str">
        <f>项目基本情况!B37</f>
        <v>二级</v>
      </c>
      <c r="I54" s="943">
        <f>SUMIF(修正!A45:A56,H54,修正!D45:D56)</f>
        <v>0.36</v>
      </c>
      <c r="J54" s="944"/>
      <c r="K54" s="1145"/>
      <c r="L54" s="942"/>
      <c r="M54" s="942"/>
      <c r="N54" s="942"/>
      <c r="O54" s="942"/>
    </row>
    <row r="55" spans="1:17" s="692" customFormat="1">
      <c r="A55" s="693" t="s">
        <v>2770</v>
      </c>
      <c r="B55" s="262" t="e">
        <f t="shared" si="16"/>
        <v>#DIV/0!</v>
      </c>
      <c r="C55" s="200">
        <f t="shared" si="15"/>
        <v>0.3</v>
      </c>
      <c r="D55" s="1165">
        <v>0.25</v>
      </c>
      <c r="E55" s="694"/>
      <c r="F55" s="691" t="e">
        <f t="shared" si="14"/>
        <v>#DIV/0!</v>
      </c>
      <c r="G55" s="3243"/>
      <c r="H55" s="1105" t="str">
        <f>项目基本情况!B37</f>
        <v>二级</v>
      </c>
      <c r="I55" s="943">
        <f>SUMIF(修正!A45:A56,H55,修正!E45:E56)</f>
        <v>0.3</v>
      </c>
      <c r="J55" s="944"/>
      <c r="K55" s="1146"/>
      <c r="L55" s="942"/>
      <c r="M55" s="942"/>
      <c r="N55" s="942"/>
      <c r="O55" s="942"/>
    </row>
    <row r="56" spans="1:17" s="692" customFormat="1">
      <c r="A56" s="693" t="s">
        <v>2771</v>
      </c>
      <c r="B56" s="262" t="e">
        <f t="shared" si="16"/>
        <v>#DIV/0!</v>
      </c>
      <c r="C56" s="200">
        <f t="shared" si="15"/>
        <v>0.3</v>
      </c>
      <c r="D56" s="1165">
        <v>0.25</v>
      </c>
      <c r="E56" s="261">
        <f>'数据-汇总表'!E11</f>
        <v>672.66000000000008</v>
      </c>
      <c r="F56" s="691" t="e">
        <f t="shared" si="14"/>
        <v>#DIV/0!</v>
      </c>
      <c r="G56" s="2709" t="s">
        <v>2772</v>
      </c>
      <c r="H56" s="1105" t="str">
        <f>项目基本情况!C37</f>
        <v>二级</v>
      </c>
      <c r="I56" s="943">
        <f>SUMIF(修正!A45:A56,H56,修正!F45:F56)</f>
        <v>0.3</v>
      </c>
      <c r="J56" s="944"/>
      <c r="K56" s="1145"/>
      <c r="L56" s="942"/>
      <c r="M56" s="942"/>
      <c r="N56" s="942"/>
      <c r="O56" s="942"/>
    </row>
    <row r="57" spans="1:17" s="692" customFormat="1">
      <c r="A57" s="693" t="s">
        <v>2773</v>
      </c>
      <c r="B57" s="262" t="e">
        <f t="shared" si="16"/>
        <v>#DIV/0!</v>
      </c>
      <c r="C57" s="200">
        <f t="shared" si="15"/>
        <v>0.3</v>
      </c>
      <c r="D57" s="1165">
        <v>0.25</v>
      </c>
      <c r="E57" s="261">
        <f>'数据-汇总表'!E12</f>
        <v>0</v>
      </c>
      <c r="F57" s="691" t="e">
        <f t="shared" si="14"/>
        <v>#DIV/0!</v>
      </c>
      <c r="G57" s="1110" t="s">
        <v>2774</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2775</v>
      </c>
      <c r="B58" s="262" t="e">
        <f t="shared" si="16"/>
        <v>#DIV/0!</v>
      </c>
      <c r="C58" s="200">
        <f t="shared" si="15"/>
        <v>0</v>
      </c>
      <c r="D58" s="1165">
        <v>0.25</v>
      </c>
      <c r="E58" s="261">
        <f>'数据-汇总表'!E13</f>
        <v>6074.74</v>
      </c>
      <c r="F58" s="691" t="e">
        <f t="shared" si="14"/>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6"/>
        <v>#DIV/0!</v>
      </c>
      <c r="C59" s="200">
        <f t="shared" si="15"/>
        <v>0.25</v>
      </c>
      <c r="D59" s="1165">
        <v>0.25</v>
      </c>
      <c r="E59" s="261">
        <f>'数据-汇总表'!E14</f>
        <v>0</v>
      </c>
      <c r="F59" s="691" t="e">
        <f t="shared" si="14"/>
        <v>#DIV/0!</v>
      </c>
      <c r="G59" s="2709" t="s">
        <v>2767</v>
      </c>
      <c r="H59" s="1105" t="str">
        <f>项目基本情况!B37</f>
        <v>二级</v>
      </c>
      <c r="I59" s="943">
        <f>SUMIF(修正!A45:A56,H59,修正!H45:H56)</f>
        <v>0.25</v>
      </c>
      <c r="J59" s="944"/>
      <c r="K59" s="1146"/>
      <c r="L59" s="942"/>
      <c r="M59" s="942"/>
      <c r="N59" s="942"/>
      <c r="O59" s="942"/>
    </row>
    <row r="60" spans="1:17" s="692" customFormat="1" ht="15" thickBot="1">
      <c r="A60" s="693" t="s">
        <v>2778</v>
      </c>
      <c r="B60" s="262" t="e">
        <f t="shared" si="16"/>
        <v>#DIV/0!</v>
      </c>
      <c r="C60" s="200">
        <f t="shared" si="15"/>
        <v>0.25</v>
      </c>
      <c r="D60" s="1165">
        <v>0.25</v>
      </c>
      <c r="E60" s="261">
        <f>'数据-汇总表'!E15</f>
        <v>0</v>
      </c>
      <c r="F60" s="691" t="e">
        <f t="shared" si="14"/>
        <v>#DIV/0!</v>
      </c>
      <c r="G60" s="2710" t="s">
        <v>2772</v>
      </c>
      <c r="H60" s="1115" t="str">
        <f>项目基本情况!C37</f>
        <v>二级</v>
      </c>
      <c r="I60" s="943">
        <f>SUMIF(修正!A45:A56,H60,修正!H45:H56)</f>
        <v>0.25</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5235.2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2018-12-1</v>
      </c>
      <c r="D63" s="761">
        <f>EDATE(C63,-3)</f>
        <v>43344</v>
      </c>
      <c r="E63" s="761">
        <f>EDATE(D63,-3)</f>
        <v>43252</v>
      </c>
      <c r="F63" s="761">
        <f t="shared" ref="F63:O63" si="17">EDATE(E63,-3)</f>
        <v>43160</v>
      </c>
      <c r="G63" s="761">
        <f t="shared" si="17"/>
        <v>43070</v>
      </c>
      <c r="H63" s="761">
        <f t="shared" si="17"/>
        <v>42979</v>
      </c>
      <c r="I63" s="761">
        <f t="shared" si="17"/>
        <v>42887</v>
      </c>
      <c r="J63" s="761">
        <f t="shared" si="17"/>
        <v>42795</v>
      </c>
      <c r="K63" s="761">
        <f t="shared" si="17"/>
        <v>42705</v>
      </c>
      <c r="L63" s="761">
        <f t="shared" si="17"/>
        <v>42614</v>
      </c>
      <c r="M63" s="761">
        <f t="shared" si="17"/>
        <v>42522</v>
      </c>
      <c r="N63" s="761">
        <f t="shared" si="17"/>
        <v>42430</v>
      </c>
      <c r="O63" s="761">
        <f t="shared" si="17"/>
        <v>42339</v>
      </c>
    </row>
    <row r="64" spans="1:17" ht="21.75" thickBot="1">
      <c r="A64" s="763" t="s">
        <v>2672</v>
      </c>
      <c r="B64" s="759"/>
      <c r="C64" s="764"/>
      <c r="D64" s="764"/>
      <c r="E64" s="764"/>
      <c r="F64" s="765"/>
      <c r="G64" s="765"/>
      <c r="H64" s="764"/>
      <c r="I64" s="764"/>
      <c r="J64" s="764"/>
      <c r="K64" s="766"/>
      <c r="L64" s="767"/>
      <c r="M64" s="764"/>
      <c r="N64" s="764"/>
      <c r="O64" s="1160"/>
      <c r="P64" s="503"/>
      <c r="Q64" s="504"/>
    </row>
    <row r="65" spans="1:17" s="508" customFormat="1" ht="15">
      <c r="A65" s="2711" t="s">
        <v>2780</v>
      </c>
      <c r="B65" s="1360"/>
      <c r="C65" s="1573" t="str">
        <f>YEAR(C63)&amp;"-"&amp;ROUNDUP(MONTH(C63)/3,0)</f>
        <v>2018-4</v>
      </c>
      <c r="D65" s="1573" t="str">
        <f t="shared" ref="D65:O65" si="18">YEAR(D63)&amp;"-"&amp;ROUNDUP(MONTH(D63)/3,0)</f>
        <v>2018-3</v>
      </c>
      <c r="E65" s="1573" t="str">
        <f t="shared" si="18"/>
        <v>2018-2</v>
      </c>
      <c r="F65" s="1573" t="str">
        <f t="shared" si="18"/>
        <v>2018-1</v>
      </c>
      <c r="G65" s="1573" t="str">
        <f t="shared" si="18"/>
        <v>2017-4</v>
      </c>
      <c r="H65" s="1573" t="str">
        <f t="shared" si="18"/>
        <v>2017-3</v>
      </c>
      <c r="I65" s="1573" t="str">
        <f t="shared" si="18"/>
        <v>2017-2</v>
      </c>
      <c r="J65" s="1573" t="str">
        <f t="shared" si="18"/>
        <v>2017-1</v>
      </c>
      <c r="K65" s="1573" t="str">
        <f t="shared" si="18"/>
        <v>2016-4</v>
      </c>
      <c r="L65" s="1573" t="str">
        <f t="shared" si="18"/>
        <v>2016-3</v>
      </c>
      <c r="M65" s="1573" t="str">
        <f t="shared" si="18"/>
        <v>2016-2</v>
      </c>
      <c r="N65" s="1573" t="str">
        <f t="shared" si="18"/>
        <v>2016-1</v>
      </c>
      <c r="O65" s="1573" t="str">
        <f t="shared" si="18"/>
        <v>2015-4</v>
      </c>
      <c r="P65" s="507"/>
    </row>
    <row r="66" spans="1:17" s="117" customFormat="1" ht="30.75" customHeight="1">
      <c r="A66" s="2716" t="s">
        <v>2800</v>
      </c>
      <c r="B66" s="332" t="str">
        <f>"北京市平均增长率"&amp;TEXT(基准地价修正商业!P24,"0.00%")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0">
        <f>MATCH(B1,'数据-取费表'!A6:A16,0)+5</f>
        <v>10</v>
      </c>
    </row>
    <row r="2" spans="1:9" s="244" customFormat="1" ht="18" customHeight="1">
      <c r="A2" s="245" t="s">
        <v>2325</v>
      </c>
      <c r="B2" s="246">
        <f ca="1">IF(D2="——",C52,C52-E2)</f>
        <v>194663</v>
      </c>
      <c r="C2" s="243" t="s">
        <v>2326</v>
      </c>
      <c r="D2" s="2547" t="s">
        <v>70</v>
      </c>
      <c r="E2" s="1441"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38839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111763</v>
      </c>
      <c r="D5" s="255" t="s">
        <v>2332</v>
      </c>
      <c r="E5" s="256" t="s">
        <v>2333</v>
      </c>
      <c r="F5" s="256" t="s">
        <v>2334</v>
      </c>
      <c r="G5" s="257"/>
    </row>
    <row r="6" spans="1:9" s="258" customFormat="1" ht="13.5" customHeight="1">
      <c r="A6" s="950" t="s">
        <v>2335</v>
      </c>
      <c r="B6" s="259" t="s">
        <v>2336</v>
      </c>
      <c r="C6" s="260">
        <f ca="1">基准地价修正办公!E29+基准地价修正办公!E39+基准地价修正商业!E29+基准地价修正商业!E33</f>
        <v>108455</v>
      </c>
      <c r="D6" s="261"/>
      <c r="E6" s="262"/>
      <c r="F6" s="262"/>
      <c r="G6" s="263"/>
    </row>
    <row r="7" spans="1:9" s="258" customFormat="1" ht="13.5" customHeight="1">
      <c r="A7" s="950" t="s">
        <v>2337</v>
      </c>
      <c r="B7" s="259" t="s">
        <v>2338</v>
      </c>
      <c r="C7" s="264">
        <f ca="1">ROUND(C6*F7,0)</f>
        <v>3308</v>
      </c>
      <c r="D7" s="264"/>
      <c r="E7" s="262"/>
      <c r="F7" s="265">
        <f>'数据-取费表'!B48+'数据-取费表'!B49</f>
        <v>3.0499999999999999E-2</v>
      </c>
      <c r="G7" s="263"/>
    </row>
    <row r="8" spans="1:9" s="267" customFormat="1">
      <c r="A8" s="950" t="s">
        <v>2339</v>
      </c>
      <c r="B8" s="259" t="s">
        <v>2340</v>
      </c>
      <c r="C8" s="264" t="str">
        <f>IF(G8="已包含在土地购买价格中","0",IF(B1="",'数据-取费表'!B29,IF(G9="全部缴纳",C9+C10,H9)))</f>
        <v>0</v>
      </c>
      <c r="D8" s="266"/>
      <c r="E8" s="264"/>
      <c r="F8" s="265"/>
      <c r="G8" s="2550" t="s">
        <v>1148</v>
      </c>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160</v>
      </c>
      <c r="F9" s="265"/>
      <c r="G9" s="2551" t="s">
        <v>3074</v>
      </c>
      <c r="H9" s="1391"/>
      <c r="I9" s="2552" t="s">
        <v>2342</v>
      </c>
    </row>
    <row r="10" spans="1:9" s="258" customFormat="1" ht="13.5" customHeight="1">
      <c r="A10" s="951" t="s">
        <v>801</v>
      </c>
      <c r="B10" s="268" t="s">
        <v>2343</v>
      </c>
      <c r="C10" s="269">
        <f ca="1">ROUND(D10*E10/10000,0)</f>
        <v>1002</v>
      </c>
      <c r="D10" s="1033">
        <f ca="1">IF(B1="",'数据-汇总表'!E6,IF(INDIRECT("'数据-取费表'!c"&amp;$G$1)="住宅",INDIRECT("'数据-取费表'!s"&amp;$G$1),INDIRECT("'数据-取费表'!k"&amp;$G$1)+INDIRECT("'数据-取费表'!s"&amp;$G$1)))</f>
        <v>50120.32</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50120.32</v>
      </c>
      <c r="E19" s="255">
        <f>'数据-取费表'!B31</f>
        <v>0</v>
      </c>
      <c r="F19" s="275"/>
      <c r="G19" s="2550" t="s">
        <v>3075</v>
      </c>
    </row>
    <row r="20" spans="1:7" s="258" customFormat="1" ht="13.5" customHeight="1">
      <c r="A20" s="299" t="s">
        <v>2356</v>
      </c>
      <c r="B20" s="254" t="s">
        <v>2357</v>
      </c>
      <c r="C20" s="276">
        <f ca="1">ROUND((C5+C19)*F20,0)</f>
        <v>2235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10976</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6">
        <f ca="1">ROUND(IF('数据-取费表'!B22&lt;=1,C5*F22*'数据-取费表'!B23,C5*(POWER((1+F22),'数据-取费表'!B23)-1)),0)</f>
        <v>10870</v>
      </c>
      <c r="D23" s="282"/>
      <c r="E23" s="282"/>
      <c r="F23" s="283"/>
      <c r="G23" s="284" t="s">
        <v>2367</v>
      </c>
    </row>
    <row r="24" spans="1:7" s="258" customFormat="1" ht="13.5" customHeight="1">
      <c r="A24" s="952"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2371</v>
      </c>
      <c r="B25" s="259" t="s">
        <v>2372</v>
      </c>
      <c r="C25" s="1356">
        <f ca="1">ROUND(IF('数据-取费表'!B22&lt;=1,C20*F22*'数据-取费表'!B23/2,C20*(POWER((1+F22),'数据-取费表'!B23/2)-1)),0)</f>
        <v>106</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25080</v>
      </c>
      <c r="D27" s="279">
        <f ca="1">C29</f>
        <v>4.4000000000000003E-3</v>
      </c>
      <c r="E27" s="280" t="s">
        <v>2377</v>
      </c>
      <c r="F27" s="290">
        <f ca="1">IF(B1="",'数据-取费表'!Q16,INDIRECT("'数据-取费表'!q"&amp;$G$1))</f>
        <v>0.22</v>
      </c>
      <c r="G27" s="291" t="s">
        <v>2378</v>
      </c>
    </row>
    <row r="28" spans="1:7" s="258" customFormat="1" ht="13.5" customHeight="1">
      <c r="A28" s="952" t="s">
        <v>791</v>
      </c>
      <c r="B28" s="292" t="s">
        <v>2379</v>
      </c>
      <c r="C28" s="293">
        <f ca="1">ROUND((C5+C19+C20)*F27*'数据-取费表'!B21/'数据-取费表'!B20,0)</f>
        <v>25080</v>
      </c>
      <c r="D28" s="279"/>
      <c r="E28" s="280"/>
      <c r="F28" s="290"/>
      <c r="G28" s="291"/>
    </row>
    <row r="29" spans="1:7" s="258" customFormat="1" ht="13.5" customHeight="1">
      <c r="A29" s="952" t="s">
        <v>792</v>
      </c>
      <c r="B29" s="292" t="s">
        <v>2380</v>
      </c>
      <c r="C29" s="282">
        <f ca="1">ROUND(C21*F27*'数据-取费表'!B21/'数据-取费表'!B20,4)</f>
        <v>4.4000000000000003E-3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162872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24281</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22277</v>
      </c>
      <c r="D34" s="261"/>
      <c r="E34" s="264"/>
      <c r="F34" s="301">
        <f ca="1">IF('数据-取费表'!B24=0,1,IF(B1="",'数据-取费表'!N16,INDIRECT("'数据-取费表'!n"&amp;$G$1)))</f>
        <v>1</v>
      </c>
      <c r="G34" s="263" t="s">
        <v>2389</v>
      </c>
    </row>
    <row r="35" spans="1:7" ht="13.5" customHeight="1">
      <c r="A35" s="952" t="s">
        <v>796</v>
      </c>
      <c r="B35" s="259" t="s">
        <v>2390</v>
      </c>
      <c r="C35" s="264">
        <f ca="1">ROUND(C34*F35,0)</f>
        <v>668</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0.04</v>
      </c>
      <c r="G36" s="304" t="s">
        <v>2393</v>
      </c>
    </row>
    <row r="37" spans="1:7" s="302" customFormat="1" ht="13.5" customHeight="1">
      <c r="A37" s="952" t="s">
        <v>798</v>
      </c>
      <c r="B37" s="259" t="s">
        <v>2394</v>
      </c>
      <c r="C37" s="293">
        <f ca="1">ROUND(E37*D37*F34/10000,0)</f>
        <v>1002</v>
      </c>
      <c r="D37" s="261">
        <f ca="1">D19</f>
        <v>50120.32</v>
      </c>
      <c r="E37" s="293">
        <f>'数据-取费表'!B35</f>
        <v>200</v>
      </c>
      <c r="F37" s="303"/>
      <c r="G37" s="305" t="s">
        <v>2395</v>
      </c>
    </row>
    <row r="38" spans="1:7" ht="13.5" customHeight="1">
      <c r="A38" s="952" t="s">
        <v>799</v>
      </c>
      <c r="B38" s="259" t="s">
        <v>2396</v>
      </c>
      <c r="C38" s="264">
        <f ca="1">ROUND(C34*F38,0)</f>
        <v>334</v>
      </c>
      <c r="D38" s="264"/>
      <c r="E38" s="264"/>
      <c r="F38" s="303">
        <f>'数据-取费表'!B36</f>
        <v>1.4999999999999999E-2</v>
      </c>
      <c r="G38" s="263" t="s">
        <v>2391</v>
      </c>
    </row>
    <row r="39" spans="1:7" s="258" customFormat="1" ht="13.5" customHeight="1">
      <c r="A39" s="299" t="s">
        <v>2397</v>
      </c>
      <c r="B39" s="254" t="s">
        <v>2398</v>
      </c>
      <c r="C39" s="276">
        <f ca="1">ROUND(C33*F20,0)</f>
        <v>486</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1176</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1153</v>
      </c>
      <c r="D42" s="282"/>
      <c r="E42" s="282"/>
      <c r="F42" s="283"/>
      <c r="G42" s="3148" t="s">
        <v>2407</v>
      </c>
    </row>
    <row r="43" spans="1:7" ht="13.5" customHeight="1">
      <c r="A43" s="952" t="s">
        <v>792</v>
      </c>
      <c r="B43" s="259" t="s">
        <v>2408</v>
      </c>
      <c r="C43" s="282">
        <f ca="1">ROUND(IF('数据-取费表'!B22&lt;=1,C39*F22*'数据-取费表'!B21/2,C39*(POWER((1+F22),'数据-取费表'!B21/2)-1)),0)</f>
        <v>23</v>
      </c>
      <c r="D43" s="282"/>
      <c r="E43" s="282"/>
      <c r="F43" s="283"/>
      <c r="G43" s="3149"/>
    </row>
    <row r="44" spans="1:7" ht="13.5" customHeight="1">
      <c r="A44" s="952" t="s">
        <v>793</v>
      </c>
      <c r="B44" s="259" t="s">
        <v>2409</v>
      </c>
      <c r="C44" s="282">
        <f ca="1">ROUND(IF('数据-取费表'!B22&lt;=1,C40*F22*'数据-取费表'!B21/2,C40*(POWER((1+F22),'数据-取费表'!B21/2)-1)),4)</f>
        <v>1E-3</v>
      </c>
      <c r="D44" s="282"/>
      <c r="E44" s="282"/>
      <c r="F44" s="283"/>
      <c r="G44" s="3150"/>
    </row>
    <row r="45" spans="1:7" s="258" customFormat="1" ht="13.5" customHeight="1">
      <c r="A45" s="299" t="s">
        <v>2410</v>
      </c>
      <c r="B45" s="288" t="s">
        <v>2376</v>
      </c>
      <c r="C45" s="289">
        <f ca="1">C46</f>
        <v>5449</v>
      </c>
      <c r="D45" s="279">
        <f ca="1">C47</f>
        <v>4.4000000000000003E-3</v>
      </c>
      <c r="E45" s="280" t="s">
        <v>2402</v>
      </c>
      <c r="F45" s="290"/>
      <c r="G45" s="291" t="s">
        <v>2411</v>
      </c>
    </row>
    <row r="46" spans="1:7" s="258" customFormat="1" ht="13.5" customHeight="1">
      <c r="A46" s="952" t="s">
        <v>791</v>
      </c>
      <c r="B46" s="292" t="s">
        <v>2412</v>
      </c>
      <c r="C46" s="293">
        <f ca="1">ROUND((C33+C39)*F27,0)</f>
        <v>5449</v>
      </c>
      <c r="D46" s="307"/>
      <c r="E46" s="280"/>
      <c r="F46" s="290"/>
      <c r="G46" s="291"/>
    </row>
    <row r="47" spans="1:7" s="258" customFormat="1" ht="13.5" customHeight="1">
      <c r="A47" s="952" t="s">
        <v>792</v>
      </c>
      <c r="B47" s="292" t="s">
        <v>2413</v>
      </c>
      <c r="C47" s="282">
        <f ca="1">ROUND(C40*F27,4)</f>
        <v>4.4000000000000003E-3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34074</v>
      </c>
      <c r="D49" s="276"/>
      <c r="E49" s="276"/>
      <c r="F49" s="308"/>
      <c r="G49" s="278" t="s">
        <v>2417</v>
      </c>
    </row>
    <row r="50" spans="1:7" s="302" customFormat="1" ht="24">
      <c r="A50" s="299" t="s">
        <v>2418</v>
      </c>
      <c r="B50" s="254" t="s">
        <v>2419</v>
      </c>
      <c r="C50" s="276"/>
      <c r="D50" s="276"/>
      <c r="E50" s="276"/>
      <c r="F50" s="308">
        <f>IF('数据-取费表'!B24=0,'数据-取费表'!N16,1)</f>
        <v>0.93300000000000005</v>
      </c>
      <c r="G50" s="291" t="s">
        <v>2420</v>
      </c>
    </row>
    <row r="51" spans="1:7" ht="16.5" customHeight="1">
      <c r="A51" s="299" t="s">
        <v>2421</v>
      </c>
      <c r="B51" s="254" t="s">
        <v>2422</v>
      </c>
      <c r="C51" s="276">
        <f ca="1">ROUND(C49*F50,0)</f>
        <v>31791</v>
      </c>
      <c r="D51" s="276"/>
      <c r="E51" s="276"/>
      <c r="F51" s="308"/>
      <c r="G51" s="278" t="s">
        <v>2423</v>
      </c>
    </row>
    <row r="52" spans="1:7" s="252" customFormat="1" ht="16.5" thickBot="1">
      <c r="A52" s="309" t="s">
        <v>2424</v>
      </c>
      <c r="B52" s="310"/>
      <c r="C52" s="311">
        <f ca="1">C31+C51</f>
        <v>194663</v>
      </c>
      <c r="D52" s="310"/>
      <c r="E52" s="310"/>
      <c r="F52" s="310"/>
      <c r="G52" s="312"/>
    </row>
    <row r="55" spans="1:7" ht="15">
      <c r="B55" s="314" t="s">
        <v>2425</v>
      </c>
      <c r="C55" s="315"/>
    </row>
    <row r="56" spans="1:7">
      <c r="B56" s="317" t="s">
        <v>1513</v>
      </c>
      <c r="C56" s="319">
        <f ca="1">1-C57</f>
        <v>0.83699999999999997</v>
      </c>
    </row>
    <row r="57" spans="1:7">
      <c r="B57" s="317" t="s">
        <v>1514</v>
      </c>
      <c r="C57" s="318">
        <f ca="1">ROUND(C51/C52,3)</f>
        <v>0.16300000000000001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I25" sqref="I25"/>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2802</v>
      </c>
      <c r="B1" s="241"/>
      <c r="C1" s="245" t="s">
        <v>2803</v>
      </c>
      <c r="D1" s="388">
        <f>SUM(D29:D30,D33:D39)</f>
        <v>28348.019999999997</v>
      </c>
      <c r="E1" s="2717"/>
      <c r="F1" s="2717"/>
      <c r="G1" s="2717"/>
      <c r="H1" s="2717"/>
      <c r="I1" s="2717"/>
      <c r="J1" s="2717"/>
      <c r="K1" s="1371"/>
      <c r="L1" s="2718" t="s">
        <v>2804</v>
      </c>
      <c r="M1" s="1081">
        <f>SUMPRODUCT((区片价!B5:B9=I2)*(区片价!C3:F3=E2)*(区片价!C5:F9))</f>
        <v>0</v>
      </c>
      <c r="N1" s="1084">
        <f>SUMPRODUCT((因素修正幅度!B5:B9=I2)*(因素修正幅度!C3:F3=E2)*(因素修正幅度!C5:F9))</f>
        <v>0</v>
      </c>
      <c r="O1" s="2719"/>
      <c r="P1" s="2719"/>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f ca="1">C26</f>
        <v>60835</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Ⅱ—17</v>
      </c>
      <c r="J2" s="2725"/>
      <c r="K2" s="1371"/>
      <c r="L2" s="2726" t="s">
        <v>2815</v>
      </c>
      <c r="M2" s="1082">
        <f>SUMPRODUCT((区片价!B10:B28=I2)*(区片价!C3:F3=E2)*(区片价!C10:F28))</f>
        <v>23900</v>
      </c>
      <c r="N2" s="1084">
        <f>SUMPRODUCT((因素修正幅度!B10:B28=I2)*(因素修正幅度!C3:F3=E2)*(因素修正幅度!C10:F28))</f>
        <v>9.6000000000000002E-2</v>
      </c>
      <c r="O2" s="1371"/>
      <c r="P2" s="1371"/>
      <c r="Q2" s="1371"/>
      <c r="R2" s="1603">
        <v>1</v>
      </c>
      <c r="S2" s="1603">
        <f>ROUND(IF(G3&gt;1,IF(R2&lt;7,SUMPRODUCT((B93:B98=R2)*(C92:N92=G2)*(C93:N98)),SUMIF(C92:N92,G2,C100:N100)),IF(R2&lt;7,SUMPRODUCT((B102:B107=R2)*(C92:N92=G2)*(C102:N107)),SUMIF(C92:N92,G2,C109:N109))),4)</f>
        <v>1.9361999999999999</v>
      </c>
      <c r="T2" s="1603">
        <f ca="1">ROUND($C$5*$C$18*$C$19*$C$20*S2*$C$24,0)</f>
        <v>56792</v>
      </c>
      <c r="U2" s="1604"/>
      <c r="V2" s="1603">
        <f ca="1">ROUND(T2*U2/10000,0)</f>
        <v>0</v>
      </c>
      <c r="W2" s="1607"/>
      <c r="X2" s="1607"/>
      <c r="Y2" s="1607"/>
      <c r="Z2" s="1607"/>
      <c r="AA2" s="1607"/>
      <c r="AB2" s="1607"/>
      <c r="AC2" s="1608"/>
      <c r="AD2" s="1609"/>
      <c r="AE2" s="1609"/>
      <c r="AF2" s="1609"/>
      <c r="AG2" s="1609"/>
      <c r="AH2" s="1609"/>
      <c r="AI2" s="1609"/>
      <c r="AJ2" s="1610"/>
    </row>
    <row r="3" spans="1:36" ht="25.5">
      <c r="A3" s="247" t="s">
        <v>2816</v>
      </c>
      <c r="B3" s="248">
        <f ca="1">ROUND(B2*10000/D1,0)</f>
        <v>21460</v>
      </c>
      <c r="C3" s="2721" t="s">
        <v>2817</v>
      </c>
      <c r="D3" s="2722" t="s">
        <v>2818</v>
      </c>
      <c r="E3" s="2727" t="s">
        <v>3073</v>
      </c>
      <c r="F3" s="2728" t="s">
        <v>3072</v>
      </c>
      <c r="G3" s="914">
        <f>IF(F3="宗地容积率",'数据-汇总表'!I4,IF(F3="估价对象容积率",'数据-汇总表'!I6,'数据-汇总表'!I7))</f>
        <v>7.5</v>
      </c>
      <c r="H3" s="198" t="s">
        <v>2819</v>
      </c>
      <c r="I3" s="945"/>
      <c r="J3" s="2725" t="s">
        <v>2820</v>
      </c>
      <c r="K3" s="1371"/>
      <c r="L3" s="2726"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41645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2"/>
      <c r="B4" s="3263"/>
      <c r="C4" s="3263"/>
      <c r="D4" s="3264"/>
      <c r="E4" s="3264"/>
      <c r="F4" s="3264"/>
      <c r="G4" s="3264"/>
      <c r="H4" s="3264"/>
      <c r="I4" s="3264"/>
      <c r="J4" s="3265"/>
      <c r="K4" s="1371"/>
      <c r="L4" s="2726"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34007</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2823</v>
      </c>
      <c r="C5" s="915">
        <f>ROUND(IF(E2="商业",IF(F16="增加",C6*C7+C16,C6*C7-C16),IF(E2="住宅",IF(F16="增加",C6*C12+C16,C6*C12-C16),IF(F16="增加",C6+C16,C6-C16))),0)</f>
        <v>23886</v>
      </c>
      <c r="D5" s="1788">
        <f>ROUND(IF(E2="商业",IF(F16="增加",C6+C16,C6-C16)),0)</f>
        <v>0</v>
      </c>
      <c r="E5" s="2731"/>
      <c r="F5" s="2731"/>
      <c r="G5" s="2732"/>
      <c r="H5" s="2732"/>
      <c r="I5" s="2732"/>
      <c r="J5" s="2733"/>
      <c r="K5" s="2734"/>
      <c r="L5" s="2726"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28223</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2825</v>
      </c>
      <c r="B6" s="2740" t="s">
        <v>2826</v>
      </c>
      <c r="C6" s="916">
        <f>SUMIF(L1:L12,G2,M1:M12)</f>
        <v>23900</v>
      </c>
      <c r="D6" s="2741" t="s">
        <v>2827</v>
      </c>
      <c r="E6" s="2742"/>
      <c r="F6" s="2742"/>
      <c r="G6" s="2743"/>
      <c r="H6" s="2743"/>
      <c r="I6" s="2743"/>
      <c r="J6" s="2744"/>
      <c r="K6" s="1843"/>
      <c r="L6" s="2726"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24689</v>
      </c>
      <c r="U6" s="1604"/>
      <c r="V6" s="1603">
        <f t="shared" ca="1" si="1"/>
        <v>0</v>
      </c>
      <c r="W6" s="1607"/>
      <c r="X6" s="1607"/>
      <c r="Y6" s="1607"/>
      <c r="Z6" s="1607"/>
      <c r="AA6" s="1607"/>
      <c r="AB6" s="1607"/>
      <c r="AC6" s="2735"/>
      <c r="AD6" s="2736"/>
      <c r="AE6" s="2736"/>
      <c r="AF6" s="2736"/>
      <c r="AG6" s="2736"/>
      <c r="AH6" s="2736"/>
      <c r="AI6" s="2736"/>
      <c r="AJ6" s="2737"/>
    </row>
    <row r="7" spans="1:36" ht="24">
      <c r="A7" s="3248" t="str">
        <f>IF(E2="商业",IF(C8="不临58条商业街","",2),"")</f>
        <v/>
      </c>
      <c r="B7" s="2745" t="s">
        <v>2829</v>
      </c>
      <c r="C7" s="917">
        <f>IF(C8="不临58条商业街",1,ROUND(1+(1.6*E8+1.2*E9+0.8*E10+0.4*E11)*C9,4))</f>
        <v>1</v>
      </c>
      <c r="D7" s="2746" t="s">
        <v>2830</v>
      </c>
      <c r="E7" s="946"/>
      <c r="F7" s="2747"/>
      <c r="G7" s="2748"/>
      <c r="H7" s="2748"/>
      <c r="I7" s="2748"/>
      <c r="J7" s="2749"/>
      <c r="K7" s="1843"/>
      <c r="L7" s="2726"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22316</v>
      </c>
      <c r="U7" s="1604"/>
      <c r="V7" s="1603">
        <f t="shared" ca="1" si="1"/>
        <v>0</v>
      </c>
      <c r="W7" s="2956" t="s">
        <v>2832</v>
      </c>
      <c r="X7" s="1605" t="str">
        <f>G2</f>
        <v>二级</v>
      </c>
      <c r="Y7" s="1605" t="s">
        <v>2833</v>
      </c>
      <c r="Z7" s="1606">
        <f>G3</f>
        <v>7.5</v>
      </c>
      <c r="AA7" s="1607"/>
      <c r="AB7" s="1607"/>
      <c r="AC7" s="1608"/>
      <c r="AD7" s="1609"/>
      <c r="AE7" s="1609"/>
      <c r="AF7" s="1609"/>
      <c r="AG7" s="1609"/>
      <c r="AH7" s="1609"/>
      <c r="AI7" s="1609"/>
      <c r="AJ7" s="1610"/>
    </row>
    <row r="8" spans="1:36" ht="25.5">
      <c r="A8" s="3249"/>
      <c r="B8" s="198" t="s">
        <v>2834</v>
      </c>
      <c r="C8" s="2750" t="s">
        <v>3069</v>
      </c>
      <c r="D8" s="918" t="s">
        <v>139</v>
      </c>
      <c r="E8" s="919" t="e">
        <f>ROUND(C11/E7,4)</f>
        <v>#DIV/0!</v>
      </c>
      <c r="F8" s="2751" t="s">
        <v>2835</v>
      </c>
      <c r="G8" s="2752"/>
      <c r="H8" s="2752"/>
      <c r="I8" s="2752"/>
      <c r="J8" s="2753"/>
      <c r="K8" s="1371"/>
      <c r="L8" s="2726"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59" t="s">
        <v>2837</v>
      </c>
      <c r="X8" s="3260"/>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49"/>
      <c r="B9" s="198" t="s">
        <v>2850</v>
      </c>
      <c r="C9" s="920">
        <f>SUMIF(修正!C59:C119,C8,修正!E59:E119)</f>
        <v>0</v>
      </c>
      <c r="D9" s="200" t="s">
        <v>140</v>
      </c>
      <c r="E9" s="200" t="e">
        <f>ROUND(C11/E7,4)</f>
        <v>#DIV/0!</v>
      </c>
      <c r="F9" s="2751" t="s">
        <v>2851</v>
      </c>
      <c r="G9" s="2752"/>
      <c r="H9" s="2752"/>
      <c r="I9" s="2752"/>
      <c r="J9" s="2753"/>
      <c r="K9" s="1371"/>
      <c r="L9" s="2726"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61"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9"/>
      <c r="B10" s="198" t="s">
        <v>2855</v>
      </c>
      <c r="C10" s="200">
        <f>SUMIF(修正!C59:C119,C8,修正!F59:F119)</f>
        <v>0</v>
      </c>
      <c r="D10" s="200" t="s">
        <v>141</v>
      </c>
      <c r="E10" s="200" t="e">
        <f>ROUND(C11/E7,4)</f>
        <v>#DIV/0!</v>
      </c>
      <c r="F10" s="2751" t="s">
        <v>2856</v>
      </c>
      <c r="G10" s="2752"/>
      <c r="H10" s="2752"/>
      <c r="I10" s="2752"/>
      <c r="J10" s="2753"/>
      <c r="K10" s="1371"/>
      <c r="L10" s="2726"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6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9"/>
      <c r="B11" s="2754" t="s">
        <v>2858</v>
      </c>
      <c r="C11" s="921">
        <f>C10/4</f>
        <v>0</v>
      </c>
      <c r="D11" s="921" t="s">
        <v>142</v>
      </c>
      <c r="E11" s="921" t="e">
        <f>ROUND(C11/E7,4)</f>
        <v>#DIV/0!</v>
      </c>
      <c r="F11" s="2755" t="s">
        <v>2859</v>
      </c>
      <c r="G11" s="2756"/>
      <c r="H11" s="2756"/>
      <c r="I11" s="2756"/>
      <c r="J11" s="2757"/>
      <c r="K11" s="1371"/>
      <c r="L11" s="2726"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61" t="s">
        <v>2861</v>
      </c>
      <c r="X11" s="1615" t="s">
        <v>2833</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5" thickBot="1">
      <c r="A12" s="3248" t="s">
        <v>2863</v>
      </c>
      <c r="B12" s="2758" t="s">
        <v>2864</v>
      </c>
      <c r="C12" s="917">
        <f>ROUND(C15*D15*E15*F15*G15*H15*I15*J15,4)</f>
        <v>1</v>
      </c>
      <c r="D12" s="2759" t="s">
        <v>2865</v>
      </c>
      <c r="E12" s="2760"/>
      <c r="F12" s="2760"/>
      <c r="G12" s="2761"/>
      <c r="H12" s="2761"/>
      <c r="I12" s="2761"/>
      <c r="J12" s="2762"/>
      <c r="K12" s="1371"/>
      <c r="L12" s="2763"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61"/>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6"/>
      <c r="B13" s="2764" t="s">
        <v>2868</v>
      </c>
      <c r="C13" s="2765" t="s">
        <v>2869</v>
      </c>
      <c r="D13" s="2949" t="s">
        <v>2870</v>
      </c>
      <c r="E13" s="2949" t="s">
        <v>2871</v>
      </c>
      <c r="F13" s="30" t="s">
        <v>2872</v>
      </c>
      <c r="G13" s="2766" t="s">
        <v>2873</v>
      </c>
      <c r="H13" s="2766" t="s">
        <v>2873</v>
      </c>
      <c r="I13" s="2766" t="s">
        <v>2873</v>
      </c>
      <c r="J13" s="2767" t="s">
        <v>2873</v>
      </c>
      <c r="K13" s="1371"/>
      <c r="L13" s="1371"/>
      <c r="M13" s="1371"/>
      <c r="N13" s="1371"/>
      <c r="O13" s="1371"/>
      <c r="P13" s="1371"/>
      <c r="Q13" s="1371"/>
      <c r="R13" s="1603">
        <v>12</v>
      </c>
      <c r="S13" s="1604"/>
      <c r="T13" s="1603">
        <f t="shared" ca="1" si="0"/>
        <v>0</v>
      </c>
      <c r="U13" s="1604"/>
      <c r="V13" s="1603">
        <f t="shared" ca="1" si="1"/>
        <v>0</v>
      </c>
      <c r="W13" s="3261"/>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266"/>
      <c r="B14" s="2768"/>
      <c r="C14" s="2769"/>
      <c r="D14" s="2770"/>
      <c r="E14" s="2770"/>
      <c r="F14" s="2771"/>
      <c r="G14" s="2772" t="s">
        <v>2874</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7"/>
      <c r="B15" s="2776" t="s">
        <v>2875</v>
      </c>
      <c r="C15" s="229">
        <f>IF(C14="有",1.1,1)</f>
        <v>1</v>
      </c>
      <c r="D15" s="229">
        <f>IF(D14="有",1.1,1)</f>
        <v>1</v>
      </c>
      <c r="E15" s="229">
        <f>IF(E14="有",1.1,1)</f>
        <v>1</v>
      </c>
      <c r="F15" s="229">
        <f>IF(F14="500米范围内",1.2,IF(F14="500-1000米",1.1,1))</f>
        <v>1</v>
      </c>
      <c r="G15" s="947">
        <v>1</v>
      </c>
      <c r="H15" s="947">
        <v>1</v>
      </c>
      <c r="I15" s="947">
        <v>1</v>
      </c>
      <c r="J15" s="948">
        <v>1</v>
      </c>
      <c r="K15" s="1371"/>
      <c r="L15" s="2777" t="s">
        <v>2812</v>
      </c>
      <c r="M15" s="918" t="s">
        <v>2876</v>
      </c>
      <c r="N15" s="918" t="s">
        <v>2877</v>
      </c>
      <c r="O15" s="918" t="s">
        <v>2878</v>
      </c>
      <c r="P15" s="2778" t="s">
        <v>2879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8" t="s">
        <v>2880</v>
      </c>
      <c r="B16" s="2745" t="s">
        <v>2881</v>
      </c>
      <c r="C16" s="2945">
        <f>ROUND(SUM(G17:J17)/C17,0)</f>
        <v>14</v>
      </c>
      <c r="D16" s="2779" t="s">
        <v>2882</v>
      </c>
      <c r="E16" s="2780" t="s">
        <v>3070</v>
      </c>
      <c r="F16" s="2781" t="s">
        <v>3071</v>
      </c>
      <c r="G16" s="2782" t="s">
        <v>3063</v>
      </c>
      <c r="H16" s="2782"/>
      <c r="I16" s="2782"/>
      <c r="J16" s="2783"/>
      <c r="K16" s="1371"/>
      <c r="L16" s="2784" t="s">
        <v>2883</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9"/>
      <c r="B17" s="2785" t="s">
        <v>2884</v>
      </c>
      <c r="C17" s="922">
        <f>SUMPRODUCT((修正!A2:A5=E2)*(修正!B1:M1=G2)*(修正!B2:M5))</f>
        <v>3.5</v>
      </c>
      <c r="D17" s="2786" t="s">
        <v>2885</v>
      </c>
      <c r="E17" s="921" t="str">
        <f>IF(OR(G2="八级",G2="九级",G2="十级",G2="十一级",G2="十二级"),"五通一平","七通一平")</f>
        <v>七通一平</v>
      </c>
      <c r="F17" s="922" t="s">
        <v>2886</v>
      </c>
      <c r="G17" s="922">
        <f>SUMPRODUCT((七通一平=G16)*(修正!B1:M1=G2)*(修正!B6:M14))</f>
        <v>50</v>
      </c>
      <c r="H17" s="922">
        <f>SUMPRODUCT((七通一平=H16)*(修正!B1:M1=G2)*(修正!B6:M14))</f>
        <v>0</v>
      </c>
      <c r="I17" s="922">
        <f>SUMPRODUCT((七通一平=I16)*(修正!B1:M1=G2)*(修正!B6:M14))</f>
        <v>0</v>
      </c>
      <c r="J17" s="923">
        <f>SUMPRODUCT((七通一平=J16)*(修正!B1:M1=G2)*(修正!B6:M14))</f>
        <v>0</v>
      </c>
      <c r="K17" s="1371"/>
      <c r="L17" s="2787"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2888</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2889</v>
      </c>
      <c r="C19" s="925">
        <f>ROUND(IF(H19="按公示增长率计算",SUMPRODUCT((地价!A3:A24=YEAR(G19)&amp;"-"&amp;ROUNDUP(MONTH(G19)/3,0))*(地价!X2:AB2=E2)*(地价!X3:AB24)),IF(H19="地价指数",M20/M19,(1+I19)^O19)),4)</f>
        <v>1.3217000000000001</v>
      </c>
      <c r="D19" s="2797" t="s">
        <v>2890</v>
      </c>
      <c r="E19" s="926">
        <v>41640</v>
      </c>
      <c r="F19" s="2797" t="s">
        <v>2891</v>
      </c>
      <c r="G19" s="927">
        <f>'数据-取费表'!B2</f>
        <v>43458</v>
      </c>
      <c r="H19" s="2798" t="s">
        <v>2892</v>
      </c>
      <c r="I19" s="928" t="str">
        <f>IF(H19="季度增幅（自定义）",SUMIF(N21:N24,E2,O21:O24),"")</f>
        <v/>
      </c>
      <c r="J19" s="2795"/>
      <c r="K19" s="1378"/>
      <c r="L19" s="2799" t="s">
        <v>2893</v>
      </c>
      <c r="M19" s="1735">
        <f>ROUND(SUMIF(地价!B2:F2,E2,地价!B24:F24),0)</f>
        <v>258</v>
      </c>
      <c r="N19" s="2800" t="s">
        <v>2894</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2895</v>
      </c>
      <c r="C20" s="930">
        <f ca="1">ROUND(POWER(1+G20,J20-I20)*(POWER(1+G20,I20)-1)/(POWER(1+G20,J20)-1),4)</f>
        <v>0.92910000000000004</v>
      </c>
      <c r="D20" s="2806" t="s">
        <v>2896</v>
      </c>
      <c r="E20" s="1769">
        <f ca="1">存贷款利率!D4/100</f>
        <v>4.3499999999999997E-2</v>
      </c>
      <c r="F20" s="2806" t="s">
        <v>2887</v>
      </c>
      <c r="G20" s="935">
        <f ca="1">SUMIF(M15:P15,E2,M17:P17)</f>
        <v>5.1999999999999998E-2</v>
      </c>
      <c r="H20" s="2806" t="s">
        <v>2897</v>
      </c>
      <c r="I20" s="936">
        <f>SUMIF('数据-取费表'!C6:C15,E2,'数据-取费表'!F6:F15)/COUNTIF('数据-取费表'!C6:C15,E2)</f>
        <v>38.15</v>
      </c>
      <c r="J20" s="937">
        <f>IF(E2="住宅",70,IF(E2="商业",40,50))</f>
        <v>50</v>
      </c>
      <c r="K20" s="1378"/>
      <c r="L20" s="2807" t="s">
        <v>2898</v>
      </c>
      <c r="M20" s="1736">
        <f>ROUND(SUMPRODUCT((地价!A4:A24=YEAR(G19)&amp;"-"&amp;ROUNDUP(MONTH(G19)/3,0))*(地价!B2:F2=E2)*(地价!B4:F24)),0)</f>
        <v>341</v>
      </c>
      <c r="N20" s="2808" t="s">
        <v>2899</v>
      </c>
      <c r="O20" s="2809" t="s">
        <v>2900</v>
      </c>
      <c r="P20" s="2810" t="s">
        <v>2901</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3068</v>
      </c>
      <c r="C21" s="2955">
        <f>IF(B21="容积率修正",IF(G3&lt;=10,D22,J22),C23)</f>
        <v>0.86299999999999999</v>
      </c>
      <c r="D21" s="2813"/>
      <c r="E21" s="2813"/>
      <c r="F21" s="2813"/>
      <c r="G21" s="2813"/>
      <c r="H21" s="2813"/>
      <c r="I21" s="2813"/>
      <c r="J21" s="2814"/>
      <c r="K21" s="1378"/>
      <c r="N21" s="2815" t="s">
        <v>2902</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4" t="s">
        <v>2903</v>
      </c>
      <c r="B22" s="2816" t="s">
        <v>2904</v>
      </c>
      <c r="C22" s="2954" t="s">
        <v>2905</v>
      </c>
      <c r="D22" s="2954">
        <f>IF(E22=G22,F22,IF(G3&lt;=10,ROUND(F22+(H22-F22)*(G3-E22)/(G22-E22),4),"——"))</f>
        <v>0.86299999999999999</v>
      </c>
      <c r="E22" s="914">
        <f>ROUNDDOWN(G3,1)</f>
        <v>7.5</v>
      </c>
      <c r="F22" s="29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914">
        <f>ROUNDUP(G3,1)</f>
        <v>7.5</v>
      </c>
      <c r="H22" s="29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0.86299999999999999</v>
      </c>
      <c r="I22" s="2954" t="s">
        <v>155</v>
      </c>
      <c r="J22" s="939" t="str">
        <f>IF(G3&gt;10,D113,"——")</f>
        <v>——</v>
      </c>
      <c r="K22" s="1378"/>
      <c r="N22" s="2815" t="s">
        <v>2906</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4" t="s">
        <v>2907</v>
      </c>
      <c r="B23" s="2817" t="s">
        <v>2908</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2909</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2910</v>
      </c>
      <c r="C24" s="925">
        <f>SUMIF(A45:A88,E2,B45:B88)</f>
        <v>1</v>
      </c>
      <c r="D24" s="2793"/>
      <c r="E24" s="2823"/>
      <c r="F24" s="2823"/>
      <c r="G24" s="2823"/>
      <c r="H24" s="2823"/>
      <c r="I24" s="2823"/>
      <c r="J24" s="2824"/>
      <c r="K24" s="1378"/>
      <c r="N24" s="2825" t="s">
        <v>2911</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2912</v>
      </c>
      <c r="C25" s="931"/>
      <c r="D25" s="2748"/>
      <c r="E25" s="2748"/>
      <c r="F25" s="2827"/>
      <c r="G25" s="2748"/>
      <c r="H25" s="2748"/>
      <c r="I25" s="2748"/>
      <c r="J25" s="2749"/>
      <c r="K25" s="1371"/>
      <c r="N25" s="2828" t="s">
        <v>2913</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9"/>
      <c r="B26" s="2816" t="s">
        <v>2914</v>
      </c>
      <c r="C26" s="206">
        <f ca="1">E29+SUM(E33:E39)</f>
        <v>60835</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2915</v>
      </c>
      <c r="C27" s="932">
        <f ca="1">E30+SUM(I33:I39)</f>
        <v>1113</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2916</v>
      </c>
      <c r="C28" s="2840" t="s">
        <v>2917</v>
      </c>
      <c r="D28" s="2840" t="s">
        <v>2918</v>
      </c>
      <c r="E28" s="2841" t="s">
        <v>2919</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2920</v>
      </c>
      <c r="C29" s="206">
        <f ca="1">ROUND(C5*C18*C19*C20*C21*C24,0)</f>
        <v>25313</v>
      </c>
      <c r="D29" s="2845">
        <f>'数据-基础表'!M5</f>
        <v>22273.279999999999</v>
      </c>
      <c r="E29" s="2959">
        <f ca="1">ROUND(C29*D29/10000,0)</f>
        <v>56380</v>
      </c>
      <c r="F29" s="2846" t="s">
        <v>2921</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2922</v>
      </c>
      <c r="C30" s="229">
        <f ca="1">ROUND(IF(E2="工业",C29*M39,C29*M38),0)</f>
        <v>6328</v>
      </c>
      <c r="D30" s="2851"/>
      <c r="E30" s="2959">
        <f ca="1">ROUND(C30*D30/10000,0)</f>
        <v>0</v>
      </c>
      <c r="F30" s="2852" t="s">
        <v>2923</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2924</v>
      </c>
      <c r="C31" s="2857" t="s">
        <v>2925</v>
      </c>
      <c r="D31" s="2761"/>
      <c r="E31" s="2857"/>
      <c r="F31" s="2857"/>
      <c r="G31" s="2759" t="s">
        <v>2926</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2917</v>
      </c>
      <c r="D32" s="498" t="s">
        <v>2918</v>
      </c>
      <c r="E32" s="498" t="s">
        <v>2919</v>
      </c>
      <c r="F32" s="388" t="s">
        <v>2927</v>
      </c>
      <c r="G32" s="2860" t="s">
        <v>2917</v>
      </c>
      <c r="H32" s="2860" t="s">
        <v>2918</v>
      </c>
      <c r="I32" s="2860" t="s">
        <v>2919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256" t="s">
        <v>2928</v>
      </c>
      <c r="B33" s="2861" t="s">
        <v>2929</v>
      </c>
      <c r="C33" s="206">
        <f ca="1">ROUND(D5*C19*C20*C24*F33,0)</f>
        <v>0</v>
      </c>
      <c r="D33" s="2845"/>
      <c r="E33" s="200">
        <f ca="1">ROUND(C33*D33/10000,0)</f>
        <v>0</v>
      </c>
      <c r="F33" s="200">
        <f>SUMIF(修正!A45:A56,G2,修正!B45:B56)</f>
        <v>0.8</v>
      </c>
      <c r="G33" s="200">
        <f ca="1">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7"/>
      <c r="B34" s="2765" t="s">
        <v>2930</v>
      </c>
      <c r="C34" s="206">
        <f ca="1">ROUND(D5*C19*C20*C24*F34,0)</f>
        <v>0</v>
      </c>
      <c r="D34" s="2845"/>
      <c r="E34" s="200">
        <f t="shared" ref="E34:E39" ca="1" si="6">ROUND(C34*D34/10000,0)</f>
        <v>0</v>
      </c>
      <c r="F34" s="200">
        <f>SUMIF(修正!A45:A56,G2,修正!C45:C56)</f>
        <v>0.5</v>
      </c>
      <c r="G34" s="200">
        <f ca="1">ROUND(IF(E2="工业",C34*$M$39,C34*$M$38),0)</f>
        <v>0</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7"/>
      <c r="B35" s="2765" t="s">
        <v>2931</v>
      </c>
      <c r="C35" s="206">
        <f ca="1">ROUND(D5*C19*C20*C24*F35,0)</f>
        <v>0</v>
      </c>
      <c r="D35" s="2845"/>
      <c r="E35" s="200">
        <f t="shared" ca="1" si="6"/>
        <v>0</v>
      </c>
      <c r="F35" s="200">
        <f>SUMIF(修正!A45:A56,G2,修正!D45:D56)</f>
        <v>0.36</v>
      </c>
      <c r="G35" s="200">
        <f ca="1">ROUND(IF(E2="工业",C35*$M$39,C35*$M$38),0)</f>
        <v>0</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5" thickBot="1">
      <c r="A36" s="3258"/>
      <c r="B36" s="2765" t="s">
        <v>2932</v>
      </c>
      <c r="C36" s="206">
        <f ca="1">ROUND(D5*C19*C20*C24*F36,0)</f>
        <v>0</v>
      </c>
      <c r="D36" s="2845"/>
      <c r="E36" s="200">
        <f t="shared" ca="1" si="6"/>
        <v>0</v>
      </c>
      <c r="F36" s="200">
        <f>SUMIF(修正!A45:A56,G2,修正!E45:E56)</f>
        <v>0.3</v>
      </c>
      <c r="G36" s="200">
        <f ca="1">ROUND(IF(E2="工业",C36*$M$39,C36*$M$38),0)</f>
        <v>0</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2933</v>
      </c>
      <c r="C37" s="200">
        <f ca="1">ROUND(C5*C19*C20*C24*F37,0)</f>
        <v>8800</v>
      </c>
      <c r="D37" s="2845"/>
      <c r="E37" s="200">
        <f t="shared" ca="1" si="6"/>
        <v>0</v>
      </c>
      <c r="F37" s="206">
        <f>SUMIF(修正!A45:A56,G2,修正!F45:F56)</f>
        <v>0.3</v>
      </c>
      <c r="G37" s="200">
        <f ca="1">ROUND(IF(E2="工业",C37*$M$39,C37*$M$38),0)</f>
        <v>2200</v>
      </c>
      <c r="H37" s="200">
        <f t="shared" si="7"/>
        <v>0</v>
      </c>
      <c r="I37" s="200">
        <f t="shared" ca="1" si="8"/>
        <v>0</v>
      </c>
      <c r="J37" s="2862"/>
      <c r="K37" s="1371"/>
      <c r="L37" s="2864" t="s">
        <v>2934</v>
      </c>
      <c r="M37" s="2865"/>
      <c r="N37" s="1371"/>
      <c r="O37" s="1371"/>
      <c r="P37" s="1371"/>
      <c r="Q37" s="1371"/>
      <c r="R37" s="1371"/>
      <c r="S37" s="1371"/>
      <c r="T37" s="1371"/>
      <c r="U37" s="1371"/>
      <c r="V37" s="1371"/>
      <c r="W37" s="1371"/>
      <c r="X37" s="1371"/>
      <c r="Y37" s="1371"/>
      <c r="Z37" s="1372"/>
    </row>
    <row r="38" spans="1:37">
      <c r="A38" s="2863"/>
      <c r="B38" s="2765" t="s">
        <v>2935</v>
      </c>
      <c r="C38" s="200">
        <f ca="1">ROUND(C5*C19*C20*C24*F38,0)</f>
        <v>8800</v>
      </c>
      <c r="D38" s="2845"/>
      <c r="E38" s="200">
        <f t="shared" ca="1" si="6"/>
        <v>0</v>
      </c>
      <c r="F38" s="206">
        <f>SUMIF(修正!A45:A56,G2,修正!G45:G56)</f>
        <v>0.3</v>
      </c>
      <c r="G38" s="200">
        <f ca="1">ROUND(IF(E2="工业",C38*$M$39,C38*$M$38),0)</f>
        <v>2200</v>
      </c>
      <c r="H38" s="200">
        <f t="shared" si="7"/>
        <v>0</v>
      </c>
      <c r="I38" s="200">
        <f t="shared" ca="1" si="8"/>
        <v>0</v>
      </c>
      <c r="J38" s="2862"/>
      <c r="K38" s="1371"/>
      <c r="L38" s="1888" t="s">
        <v>2936</v>
      </c>
      <c r="M38" s="2866">
        <v>0.25</v>
      </c>
      <c r="N38" s="1371"/>
      <c r="O38" s="1371"/>
      <c r="P38" s="1371"/>
      <c r="Q38" s="1371"/>
      <c r="R38" s="1371"/>
      <c r="S38" s="1371"/>
      <c r="T38" s="1371"/>
      <c r="U38" s="1371"/>
      <c r="V38" s="1371"/>
      <c r="W38" s="1371"/>
      <c r="X38" s="1371"/>
      <c r="Y38" s="1371"/>
      <c r="Z38" s="1372"/>
    </row>
    <row r="39" spans="1:37" ht="13.5" thickBot="1">
      <c r="A39" s="2849"/>
      <c r="B39" s="2867" t="s">
        <v>2937</v>
      </c>
      <c r="C39" s="229">
        <f ca="1">ROUND(C5*C19*C20*C24*F39,0)</f>
        <v>7333</v>
      </c>
      <c r="D39" s="2851">
        <f>'数据-汇总表'!G19</f>
        <v>6074.74</v>
      </c>
      <c r="E39" s="229">
        <f t="shared" ca="1" si="6"/>
        <v>4455</v>
      </c>
      <c r="F39" s="933">
        <f>SUMIF(修正!A45:A56,G2,修正!H45:H56)</f>
        <v>0.25</v>
      </c>
      <c r="G39" s="229">
        <f ca="1">ROUND(IF(E2="工业",C39*$M$39,C39*$M$38),0)</f>
        <v>1833</v>
      </c>
      <c r="H39" s="229">
        <f t="shared" si="7"/>
        <v>6074.74</v>
      </c>
      <c r="I39" s="229">
        <f t="shared" ca="1" si="8"/>
        <v>1113</v>
      </c>
      <c r="J39" s="2868"/>
      <c r="K39" s="1371"/>
      <c r="L39" s="2869" t="s">
        <v>2879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2938</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2939</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2940</v>
      </c>
      <c r="B47" s="2948" t="s">
        <v>2941</v>
      </c>
      <c r="C47" s="2948" t="s">
        <v>2942</v>
      </c>
      <c r="D47" s="2948" t="s">
        <v>2943</v>
      </c>
      <c r="E47" s="817" t="s">
        <v>2944</v>
      </c>
      <c r="F47" s="2879" t="s">
        <v>2945</v>
      </c>
      <c r="G47" s="2948" t="s">
        <v>754</v>
      </c>
      <c r="H47" s="2880" t="s">
        <v>2946</v>
      </c>
      <c r="I47" s="2948" t="s">
        <v>2947</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78" t="s">
        <v>2948</v>
      </c>
      <c r="B48" s="2881" t="str">
        <f>估价对象房地状况!C4</f>
        <v>估价对象位于东直门商圈，周边商业氛围成熟，人流量大，商业繁华度好</v>
      </c>
      <c r="C48" s="2770"/>
      <c r="D48" s="1287">
        <f t="shared" ref="D48:D56" si="9">SUMIF($J$47:$N$47,C48,J48:N48)</f>
        <v>0</v>
      </c>
      <c r="E48" s="819">
        <f>ROUND(SUM(D48:D56),4)</f>
        <v>0</v>
      </c>
      <c r="F48" s="2501" t="str">
        <f>IF(E2="商业",SUMIF(L1:L12,G2,N1:N12),"——")</f>
        <v>——</v>
      </c>
      <c r="G48" s="1285"/>
      <c r="H48" s="1289" t="str">
        <f t="shared" ref="H48:H56" si="10">IFERROR(ROUNDDOWN($F$48*I48/2,4),"——")</f>
        <v>——</v>
      </c>
      <c r="I48" s="818">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51">
      <c r="A49" s="2878" t="s">
        <v>2949</v>
      </c>
      <c r="B49" s="2882" t="str">
        <f>估价对象房地状况!C18</f>
        <v>估价对象周边道路状况较好（机场高速、香河园路）、公共交通较通达（2、机场线东直门站，18路、916路香河园路，359、915路东直门外站）、停车便捷程度，综合评价交通便捷度较好</v>
      </c>
      <c r="C49" s="2770"/>
      <c r="D49" s="1287">
        <f t="shared" si="9"/>
        <v>0</v>
      </c>
      <c r="E49" s="820"/>
      <c r="F49" s="2501"/>
      <c r="G49" s="1285"/>
      <c r="H49" s="1289" t="str">
        <f t="shared" si="10"/>
        <v>——</v>
      </c>
      <c r="I49" s="818">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c r="A50" s="2878" t="s">
        <v>2950</v>
      </c>
      <c r="B50" s="2882" t="str">
        <f>估价对象房地状况!C19</f>
        <v>较一致</v>
      </c>
      <c r="C50" s="2770"/>
      <c r="D50" s="1287">
        <f t="shared" si="9"/>
        <v>0</v>
      </c>
      <c r="E50" s="820"/>
      <c r="F50" s="2501"/>
      <c r="G50" s="1285"/>
      <c r="H50" s="1289" t="str">
        <f t="shared" si="10"/>
        <v>——</v>
      </c>
      <c r="I50" s="818">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36.75">
      <c r="A51" s="2878" t="s">
        <v>2951</v>
      </c>
      <c r="B51" s="2883" t="s">
        <v>2952</v>
      </c>
      <c r="C51" s="2770"/>
      <c r="D51" s="1287">
        <f t="shared" si="9"/>
        <v>0</v>
      </c>
      <c r="E51" s="820"/>
      <c r="F51" s="2501"/>
      <c r="G51" s="1285"/>
      <c r="H51" s="1289" t="str">
        <f t="shared" si="10"/>
        <v>——</v>
      </c>
      <c r="I51" s="818">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c r="A52" s="2878" t="s">
        <v>2953</v>
      </c>
      <c r="B52" s="2882">
        <f>估价对象房地状况!C24</f>
        <v>0</v>
      </c>
      <c r="C52" s="2770"/>
      <c r="D52" s="1287">
        <f t="shared" si="9"/>
        <v>0</v>
      </c>
      <c r="E52" s="820"/>
      <c r="F52" s="2501"/>
      <c r="G52" s="1285"/>
      <c r="H52" s="1289" t="str">
        <f t="shared" si="10"/>
        <v>——</v>
      </c>
      <c r="I52" s="818">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24">
      <c r="A53" s="2878" t="s">
        <v>2954</v>
      </c>
      <c r="B53" s="2884" t="s">
        <v>2955</v>
      </c>
      <c r="C53" s="2770"/>
      <c r="D53" s="1287">
        <f t="shared" si="9"/>
        <v>0</v>
      </c>
      <c r="E53" s="820"/>
      <c r="F53" s="2501"/>
      <c r="G53" s="1285"/>
      <c r="H53" s="1289" t="str">
        <f t="shared" si="10"/>
        <v>——</v>
      </c>
      <c r="I53" s="818">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5.5">
      <c r="A54" s="2885" t="s">
        <v>2956</v>
      </c>
      <c r="B54" s="1726" t="str">
        <f>估价对象房地状况!C21</f>
        <v>估价对象所在区域公共配套设施齐备</v>
      </c>
      <c r="C54" s="2770"/>
      <c r="D54" s="1287">
        <f t="shared" si="9"/>
        <v>0</v>
      </c>
      <c r="E54" s="820"/>
      <c r="F54" s="2501"/>
      <c r="G54" s="1285"/>
      <c r="H54" s="1289" t="str">
        <f t="shared" si="10"/>
        <v>——</v>
      </c>
      <c r="I54" s="818">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5.5">
      <c r="A55" s="2885" t="s">
        <v>2957</v>
      </c>
      <c r="B55" s="2882" t="str">
        <f>估价对象房地状况!C22</f>
        <v>估价对象所在区域基础设施水平较高</v>
      </c>
      <c r="C55" s="2770"/>
      <c r="D55" s="1287">
        <f t="shared" si="9"/>
        <v>0</v>
      </c>
      <c r="E55" s="820"/>
      <c r="F55" s="2501"/>
      <c r="G55" s="1285"/>
      <c r="H55" s="1289" t="str">
        <f t="shared" si="10"/>
        <v>——</v>
      </c>
      <c r="I55" s="818">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39" thickBot="1">
      <c r="A56" s="2886" t="s">
        <v>2958</v>
      </c>
      <c r="B56" s="2887" t="str">
        <f>估价对象房地状况!C20</f>
        <v>区域自然环境：廉政文化公园；人文环境：自来水博物馆；综合评价环境状况较好</v>
      </c>
      <c r="C56" s="2770"/>
      <c r="D56" s="1287">
        <f t="shared" si="9"/>
        <v>0</v>
      </c>
      <c r="E56" s="823"/>
      <c r="F56" s="2501"/>
      <c r="G56" s="1285"/>
      <c r="H56" s="1289" t="str">
        <f t="shared" si="10"/>
        <v>——</v>
      </c>
      <c r="I56" s="822">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5">
      <c r="A57" s="2874" t="s">
        <v>2959</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2940</v>
      </c>
      <c r="B58" s="2948"/>
      <c r="C58" s="2948" t="s">
        <v>2942</v>
      </c>
      <c r="D58" s="2948" t="s">
        <v>2943</v>
      </c>
      <c r="E58" s="817" t="s">
        <v>2944</v>
      </c>
      <c r="F58" s="2879" t="s">
        <v>2960</v>
      </c>
      <c r="G58" s="2948" t="s">
        <v>754</v>
      </c>
      <c r="H58" s="2880" t="s">
        <v>2946</v>
      </c>
      <c r="I58" s="2948" t="s">
        <v>2947</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78" t="s">
        <v>2961</v>
      </c>
      <c r="B59" s="2881" t="str">
        <f>估价对象房地状况!C17</f>
        <v>估价对象位于东直门商圈，周边办公楼项目较多，入驻率高，办公集聚程度较好</v>
      </c>
      <c r="C59" s="2770"/>
      <c r="D59" s="1287">
        <f t="shared" ref="D59:D67" si="14">SUMIF($J$58:$N$58,C59,J59:N59)</f>
        <v>0</v>
      </c>
      <c r="E59" s="819">
        <f>ROUND(SUM(D59:D67),4)</f>
        <v>0</v>
      </c>
      <c r="F59" s="2501">
        <f>IF(E2="办公",SUMIF(L1:L12,G2,N1:N12),"——")</f>
        <v>9.6000000000000002E-2</v>
      </c>
      <c r="G59" s="1285"/>
      <c r="H59" s="1289">
        <f t="shared" ref="H59:H67" si="15">IFERROR(ROUNDDOWN($F$59*I59/2,4),"——")</f>
        <v>1.15E-2</v>
      </c>
      <c r="I59" s="818">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51">
      <c r="A60" s="2878" t="s">
        <v>2949</v>
      </c>
      <c r="B60" s="2882" t="str">
        <f>估价对象房地状况!C18</f>
        <v>估价对象周边道路状况较好（机场高速、香河园路）、公共交通较通达（2、机场线东直门站，18路、916路香河园路，359、915路东直门外站）、停车便捷程度，综合评价交通便捷度较好</v>
      </c>
      <c r="C60" s="2770"/>
      <c r="D60" s="1287">
        <f t="shared" si="14"/>
        <v>0</v>
      </c>
      <c r="E60" s="820"/>
      <c r="F60" s="2501"/>
      <c r="G60" s="1285"/>
      <c r="H60" s="1289">
        <f t="shared" si="15"/>
        <v>1.44E-2</v>
      </c>
      <c r="I60" s="818">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8" t="s">
        <v>2950</v>
      </c>
      <c r="B61" s="2882" t="str">
        <f>估价对象房地状况!C19</f>
        <v>较一致</v>
      </c>
      <c r="C61" s="2770"/>
      <c r="D61" s="1287">
        <f t="shared" si="14"/>
        <v>0</v>
      </c>
      <c r="E61" s="820"/>
      <c r="F61" s="2501"/>
      <c r="G61" s="1285"/>
      <c r="H61" s="1289">
        <f t="shared" si="15"/>
        <v>3.8E-3</v>
      </c>
      <c r="I61" s="818">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36.75">
      <c r="A62" s="2878" t="s">
        <v>2951</v>
      </c>
      <c r="B62" s="2883" t="s">
        <v>2952</v>
      </c>
      <c r="C62" s="2770"/>
      <c r="D62" s="1287">
        <f t="shared" si="14"/>
        <v>0</v>
      </c>
      <c r="E62" s="820"/>
      <c r="F62" s="2501"/>
      <c r="G62" s="1285"/>
      <c r="H62" s="1289">
        <f t="shared" si="15"/>
        <v>1.9E-3</v>
      </c>
      <c r="I62" s="818">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8" t="s">
        <v>2953</v>
      </c>
      <c r="B63" s="2882">
        <f>估价对象房地状况!C24</f>
        <v>0</v>
      </c>
      <c r="C63" s="2770"/>
      <c r="D63" s="1287">
        <f t="shared" si="14"/>
        <v>0</v>
      </c>
      <c r="E63" s="820"/>
      <c r="F63" s="2501"/>
      <c r="G63" s="1285"/>
      <c r="H63" s="1289">
        <f t="shared" si="15"/>
        <v>2.3999999999999998E-3</v>
      </c>
      <c r="I63" s="818">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24">
      <c r="A64" s="2878" t="s">
        <v>2954</v>
      </c>
      <c r="B64" s="2884" t="s">
        <v>2955</v>
      </c>
      <c r="C64" s="2770"/>
      <c r="D64" s="1287">
        <f t="shared" si="14"/>
        <v>0</v>
      </c>
      <c r="E64" s="820"/>
      <c r="F64" s="2501"/>
      <c r="G64" s="1285"/>
      <c r="H64" s="1289">
        <f t="shared" si="15"/>
        <v>2.3999999999999998E-3</v>
      </c>
      <c r="I64" s="818">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5.5">
      <c r="A65" s="2878" t="s">
        <v>2956</v>
      </c>
      <c r="B65" s="1726" t="str">
        <f>估价对象房地状况!C21</f>
        <v>估价对象所在区域公共配套设施齐备</v>
      </c>
      <c r="C65" s="2770"/>
      <c r="D65" s="1287">
        <f t="shared" si="14"/>
        <v>0</v>
      </c>
      <c r="E65" s="820"/>
      <c r="F65" s="2501"/>
      <c r="G65" s="1285"/>
      <c r="H65" s="1289">
        <f t="shared" si="15"/>
        <v>2.8E-3</v>
      </c>
      <c r="I65" s="818">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5.5">
      <c r="A66" s="2878" t="s">
        <v>2957</v>
      </c>
      <c r="B66" s="1726" t="str">
        <f>估价对象房地状况!C22</f>
        <v>估价对象所在区域基础设施水平较高</v>
      </c>
      <c r="C66" s="2770"/>
      <c r="D66" s="1287">
        <f t="shared" si="14"/>
        <v>0</v>
      </c>
      <c r="E66" s="820"/>
      <c r="F66" s="2501"/>
      <c r="G66" s="1285"/>
      <c r="H66" s="1289">
        <f t="shared" si="15"/>
        <v>5.7000000000000002E-3</v>
      </c>
      <c r="I66" s="818">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39" thickBot="1">
      <c r="A67" s="2886" t="s">
        <v>2958</v>
      </c>
      <c r="B67" s="2888" t="str">
        <f>估价对象房地状况!C20</f>
        <v>区域自然环境：廉政文化公园；人文环境：自来水博物馆；综合评价环境状况较好</v>
      </c>
      <c r="C67" s="2770"/>
      <c r="D67" s="1287">
        <f t="shared" si="14"/>
        <v>0</v>
      </c>
      <c r="E67" s="823"/>
      <c r="F67" s="2501"/>
      <c r="G67" s="1285"/>
      <c r="H67" s="1289">
        <f t="shared" si="15"/>
        <v>2.8E-3</v>
      </c>
      <c r="I67" s="822">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5">
      <c r="A68" s="2874" t="s">
        <v>2962</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2940</v>
      </c>
      <c r="B69" s="2948"/>
      <c r="C69" s="2948" t="s">
        <v>2942</v>
      </c>
      <c r="D69" s="2948" t="s">
        <v>2943</v>
      </c>
      <c r="E69" s="817" t="s">
        <v>2944</v>
      </c>
      <c r="F69" s="2879" t="s">
        <v>2960</v>
      </c>
      <c r="G69" s="2948" t="s">
        <v>754</v>
      </c>
      <c r="H69" s="2880" t="s">
        <v>2946</v>
      </c>
      <c r="I69" s="2948" t="s">
        <v>2947</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78" t="s">
        <v>2963</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51">
      <c r="A71" s="2878" t="s">
        <v>2949</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2950</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4.25">
      <c r="A73" s="2878" t="s">
        <v>2964</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5.5">
      <c r="A74" s="2878" t="s">
        <v>2956</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5.5">
      <c r="A75" s="2878" t="s">
        <v>2957</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24">
      <c r="A76" s="2878" t="s">
        <v>2954</v>
      </c>
      <c r="B76" s="2884" t="s">
        <v>2955</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38.25">
      <c r="A77" s="2878" t="s">
        <v>2958</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24.75" thickBot="1">
      <c r="A78" s="2886" t="s">
        <v>2965</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5">
      <c r="A79" s="2874" t="s">
        <v>2966</v>
      </c>
      <c r="B79" s="2875">
        <f>1+E81</f>
        <v>1</v>
      </c>
      <c r="C79" s="812"/>
      <c r="D79" s="812"/>
      <c r="E79" s="813"/>
      <c r="F79" s="2877"/>
      <c r="G79" s="6"/>
      <c r="H79" s="6"/>
      <c r="I79" s="6"/>
      <c r="J79" s="7"/>
      <c r="K79" s="7"/>
      <c r="L79" s="7"/>
      <c r="M79" s="7"/>
      <c r="N79" s="7"/>
      <c r="Z79" s="2720"/>
      <c r="AA79" s="2796"/>
      <c r="AG79" s="1373"/>
      <c r="AK79" s="2796"/>
    </row>
    <row r="80" spans="1:37" ht="24.75">
      <c r="A80" s="2878" t="s">
        <v>2940</v>
      </c>
      <c r="B80" s="2948"/>
      <c r="C80" s="2948" t="s">
        <v>2942</v>
      </c>
      <c r="D80" s="2948" t="s">
        <v>2943</v>
      </c>
      <c r="E80" s="817" t="s">
        <v>2944</v>
      </c>
      <c r="F80" s="2879" t="s">
        <v>2960</v>
      </c>
      <c r="G80" s="2948" t="s">
        <v>754</v>
      </c>
      <c r="H80" s="2880" t="s">
        <v>2946</v>
      </c>
      <c r="I80" s="2948" t="s">
        <v>2947</v>
      </c>
      <c r="J80" s="603" t="s">
        <v>2595</v>
      </c>
      <c r="K80" s="603" t="s">
        <v>2596</v>
      </c>
      <c r="L80" s="603" t="s">
        <v>2597</v>
      </c>
      <c r="M80" s="603" t="s">
        <v>2598</v>
      </c>
      <c r="N80" s="603" t="s">
        <v>2599</v>
      </c>
      <c r="Z80" s="2720"/>
      <c r="AA80" s="2796"/>
      <c r="AG80" s="1373"/>
      <c r="AK80" s="2796"/>
    </row>
    <row r="81" spans="1:37" ht="38.25">
      <c r="A81" s="2878" t="s">
        <v>2967</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51">
      <c r="A82" s="2878" t="s">
        <v>2949</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2950</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4.25">
      <c r="A84" s="2878" t="s">
        <v>2964</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5.5">
      <c r="A85" s="2878" t="s">
        <v>2956</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5.5">
      <c r="A86" s="2878" t="s">
        <v>2957</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24">
      <c r="A87" s="2878" t="s">
        <v>2954</v>
      </c>
      <c r="B87" s="2884" t="s">
        <v>2968</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39" thickBot="1">
      <c r="A88" s="2886" t="s">
        <v>2969</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250" t="s">
        <v>2970</v>
      </c>
      <c r="B90" s="3250"/>
      <c r="C90" s="3250"/>
      <c r="D90" s="3250"/>
      <c r="E90" s="3250"/>
      <c r="F90" s="3250"/>
      <c r="G90" s="3250"/>
      <c r="H90" s="3250"/>
      <c r="I90" s="3250"/>
      <c r="J90" s="3250"/>
      <c r="K90" s="2957"/>
      <c r="L90" s="2957"/>
      <c r="M90" s="2957"/>
      <c r="N90" s="2957"/>
    </row>
    <row r="91" spans="1:37">
      <c r="A91" s="3252" t="s">
        <v>2971</v>
      </c>
      <c r="B91" s="3252" t="s">
        <v>2972</v>
      </c>
      <c r="C91" s="2846" t="s">
        <v>2973</v>
      </c>
      <c r="D91" s="2847"/>
      <c r="E91" s="2847"/>
      <c r="F91" s="2847"/>
      <c r="G91" s="2847"/>
      <c r="H91" s="2847"/>
      <c r="I91" s="2847"/>
      <c r="J91" s="2893"/>
      <c r="K91" s="2894"/>
      <c r="L91" s="2894"/>
      <c r="M91" s="2894"/>
      <c r="N91" s="2894"/>
    </row>
    <row r="92" spans="1:37">
      <c r="A92" s="3252"/>
      <c r="B92" s="3252"/>
      <c r="C92" s="2959" t="s">
        <v>2838</v>
      </c>
      <c r="D92" s="2959" t="s">
        <v>2839</v>
      </c>
      <c r="E92" s="2959" t="s">
        <v>2840</v>
      </c>
      <c r="F92" s="2959" t="s">
        <v>2841</v>
      </c>
      <c r="G92" s="2959" t="s">
        <v>2842</v>
      </c>
      <c r="H92" s="2959" t="s">
        <v>2843</v>
      </c>
      <c r="I92" s="2959" t="s">
        <v>2844</v>
      </c>
      <c r="J92" s="2959" t="s">
        <v>2845</v>
      </c>
      <c r="K92" s="2959" t="s">
        <v>2846</v>
      </c>
      <c r="L92" s="2959" t="s">
        <v>2847</v>
      </c>
      <c r="M92" s="2959" t="s">
        <v>2848</v>
      </c>
      <c r="N92" s="2959" t="s">
        <v>2849</v>
      </c>
    </row>
    <row r="93" spans="1:37">
      <c r="A93" s="3253" t="s">
        <v>2974</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4"/>
      <c r="B99" s="2895" t="s">
        <v>2854</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25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3" t="s">
        <v>2975</v>
      </c>
      <c r="B101" s="2899" t="s">
        <v>2976</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254"/>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254"/>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254"/>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254"/>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254"/>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254"/>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254"/>
      <c r="B108" s="3082" t="s">
        <v>2867</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255"/>
      <c r="B109" s="3083"/>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251" t="s">
        <v>2978</v>
      </c>
      <c r="B110" s="3251"/>
      <c r="C110" s="3251"/>
      <c r="D110" s="3251"/>
      <c r="E110" s="3251"/>
      <c r="F110" s="3251"/>
      <c r="G110" s="3251"/>
      <c r="H110" s="3251"/>
      <c r="I110" s="3251"/>
      <c r="J110" s="3251"/>
      <c r="K110" s="2958"/>
      <c r="L110" s="2958"/>
      <c r="M110" s="2958"/>
      <c r="N110" s="2958"/>
    </row>
    <row r="112" spans="1:14" ht="13.5" thickBot="1"/>
    <row r="113" spans="1:13" ht="25.5" thickBot="1">
      <c r="A113" s="901" t="s">
        <v>2979</v>
      </c>
      <c r="B113" s="1288">
        <f>G3</f>
        <v>7.5</v>
      </c>
      <c r="C113" s="902" t="s">
        <v>2980</v>
      </c>
      <c r="D113" s="903">
        <f>SUMPRODUCT((A115:A118=F113)*(B114:M114=H113)*B115:M118)</f>
        <v>0.85899999999999999</v>
      </c>
      <c r="E113" s="2724" t="s">
        <v>2812</v>
      </c>
      <c r="F113" s="2903" t="str">
        <f>E2</f>
        <v>办公</v>
      </c>
      <c r="G113" s="2724" t="s">
        <v>2813</v>
      </c>
      <c r="H113" s="2903" t="str">
        <f>G2</f>
        <v>二级</v>
      </c>
      <c r="I113" s="2724"/>
      <c r="J113" s="2904"/>
      <c r="K113" s="2904"/>
      <c r="L113" s="2904"/>
      <c r="M113" s="2904"/>
    </row>
    <row r="114" spans="1:13">
      <c r="A114" s="906"/>
      <c r="B114" s="2905" t="s">
        <v>2981</v>
      </c>
      <c r="C114" s="2905" t="s">
        <v>2982</v>
      </c>
      <c r="D114" s="2905" t="s">
        <v>2983</v>
      </c>
      <c r="E114" s="2906" t="s">
        <v>2984</v>
      </c>
      <c r="F114" s="2906" t="s">
        <v>2985</v>
      </c>
      <c r="G114" s="2906" t="s">
        <v>2986</v>
      </c>
      <c r="H114" s="2907" t="s">
        <v>2987</v>
      </c>
      <c r="I114" s="2907" t="s">
        <v>2988</v>
      </c>
      <c r="J114" s="2908" t="s">
        <v>2989</v>
      </c>
      <c r="K114" s="2908" t="s">
        <v>2990</v>
      </c>
      <c r="L114" s="2908" t="s">
        <v>2991</v>
      </c>
      <c r="M114" s="2909" t="s">
        <v>2992</v>
      </c>
    </row>
    <row r="115" spans="1:13">
      <c r="A115" s="907" t="s">
        <v>2876</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2877</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2878</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5" thickBot="1">
      <c r="A118" s="714" t="s">
        <v>2879</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2"/>
      <c r="B4" s="2967" t="s">
        <v>1630</v>
      </c>
      <c r="C4" s="2967"/>
      <c r="D4" s="2967"/>
      <c r="E4" s="1962"/>
    </row>
    <row r="5" spans="1:5" ht="16.5" thickTop="1">
      <c r="A5" s="1960"/>
      <c r="B5" s="2965" t="s">
        <v>1622</v>
      </c>
      <c r="C5" s="1963" t="s">
        <v>1623</v>
      </c>
      <c r="D5" s="1041">
        <f ca="1">结果表!H101</f>
        <v>184902</v>
      </c>
      <c r="E5" s="1960"/>
    </row>
    <row r="6" spans="1:5" ht="15.75">
      <c r="A6" s="1960"/>
      <c r="B6" s="2965"/>
      <c r="C6" s="1963" t="s">
        <v>1624</v>
      </c>
      <c r="D6" s="1041" t="str">
        <f ca="1">NUMBERSTRING(INT(D5*10000),2)&amp;"元整"</f>
        <v>壹拾捌亿肆仟玖佰零贰万元整</v>
      </c>
      <c r="E6" s="1960"/>
    </row>
    <row r="7" spans="1:5" ht="15.75">
      <c r="A7" s="1960"/>
      <c r="B7" s="2970"/>
      <c r="C7" s="1964" t="s">
        <v>1625</v>
      </c>
      <c r="D7" s="1042">
        <f ca="1">结果表!H102</f>
        <v>36892</v>
      </c>
      <c r="E7" s="1960"/>
    </row>
    <row r="8" spans="1:5" ht="15.75">
      <c r="A8" s="1960"/>
      <c r="B8" s="2971" t="str">
        <f>结果表!E103</f>
        <v>2.估价师知悉的法定优先受偿款</v>
      </c>
      <c r="C8" s="1965" t="s">
        <v>1626</v>
      </c>
      <c r="D8" s="1042">
        <f>结果表!H103</f>
        <v>0</v>
      </c>
      <c r="E8" s="1960"/>
    </row>
    <row r="9" spans="1:5" ht="15.75">
      <c r="A9" s="1960"/>
      <c r="B9" s="2973"/>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64" t="str">
        <f>结果表!E107</f>
        <v>3.房地产抵押价值</v>
      </c>
      <c r="C13" s="1968" t="s">
        <v>1623</v>
      </c>
      <c r="D13" s="1044">
        <f ca="1">结果表!H107</f>
        <v>184902</v>
      </c>
      <c r="E13" s="1960"/>
    </row>
    <row r="14" spans="1:5" ht="15.75">
      <c r="A14" s="1960"/>
      <c r="B14" s="2965"/>
      <c r="C14" s="1963" t="s">
        <v>1624</v>
      </c>
      <c r="D14" s="1041" t="str">
        <f ca="1">NUMBERSTRING(INT(D13*10000),2)&amp;"元整"</f>
        <v>壹拾捌亿肆仟玖佰零贰万元整</v>
      </c>
      <c r="E14" s="1960"/>
    </row>
    <row r="15" spans="1:5" ht="15">
      <c r="A15" s="1960"/>
      <c r="B15" s="2970"/>
      <c r="C15" s="1964" t="s">
        <v>1634</v>
      </c>
      <c r="D15" s="1053">
        <f ca="1">结果表!H108</f>
        <v>36892</v>
      </c>
      <c r="E15" s="1960"/>
    </row>
    <row r="16" spans="1:5" ht="15">
      <c r="A16" s="1960"/>
      <c r="B16" s="2971" t="str">
        <f>结果表!E109</f>
        <v>——</v>
      </c>
      <c r="C16" s="1968" t="s">
        <v>1635</v>
      </c>
      <c r="D16" s="1969" t="str">
        <f>结果表!H109</f>
        <v>——</v>
      </c>
      <c r="E16" s="1960"/>
    </row>
    <row r="17" spans="1:5" ht="15.75">
      <c r="A17" s="1960"/>
      <c r="B17" s="2972"/>
      <c r="C17" s="1963" t="s">
        <v>1636</v>
      </c>
      <c r="D17" s="1041" t="e">
        <f>NUMBERSTRING(INT(D16*10000),2)&amp;"元整"</f>
        <v>#VALUE!</v>
      </c>
      <c r="E17" s="1960"/>
    </row>
    <row r="18" spans="1:5" ht="15">
      <c r="A18" s="1960"/>
      <c r="B18" s="2973"/>
      <c r="C18" s="1964" t="s">
        <v>1625</v>
      </c>
      <c r="D18" s="1053" t="str">
        <f>结果表!H110</f>
        <v>——</v>
      </c>
      <c r="E18" s="1960"/>
    </row>
    <row r="19" spans="1:5" ht="15.75">
      <c r="A19" s="1960"/>
      <c r="B19" s="2964" t="str">
        <f>结果表!E111</f>
        <v>——</v>
      </c>
      <c r="C19" s="1968" t="s">
        <v>1623</v>
      </c>
      <c r="D19" s="1042" t="str">
        <f>结果表!H111</f>
        <v>——</v>
      </c>
      <c r="E19" s="1960"/>
    </row>
    <row r="20" spans="1:5" ht="15.75">
      <c r="A20" s="1960"/>
      <c r="B20" s="2965"/>
      <c r="C20" s="1963" t="s">
        <v>1636</v>
      </c>
      <c r="D20" s="1041" t="e">
        <f>NUMBERSTRING(INT(D19*10000),2)&amp;"元整"</f>
        <v>#VALUE!</v>
      </c>
      <c r="E20" s="1960"/>
    </row>
    <row r="21" spans="1:5" ht="15.75" thickBot="1">
      <c r="A21" s="1960"/>
      <c r="B21" s="2966"/>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34" sqref="D34"/>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2802</v>
      </c>
      <c r="B1" s="241"/>
      <c r="C1" s="245" t="s">
        <v>2803</v>
      </c>
      <c r="D1" s="388">
        <f>SUM(D29:D30,D33:D39)</f>
        <v>21099.64</v>
      </c>
      <c r="E1" s="2717"/>
      <c r="F1" s="2717"/>
      <c r="G1" s="2717"/>
      <c r="H1" s="2717"/>
      <c r="I1" s="2717"/>
      <c r="J1" s="2717"/>
      <c r="K1" s="1371"/>
      <c r="L1" s="2718" t="s">
        <v>2804</v>
      </c>
      <c r="M1" s="1081">
        <f>SUMPRODUCT((区片价!B5:B9=I2)*(区片价!C3:F3=E2)*(区片价!C5:F9))</f>
        <v>0</v>
      </c>
      <c r="N1" s="1084">
        <f>SUMPRODUCT((因素修正幅度!B5:B9=I2)*(因素修正幅度!C3:F3=E2)*(因素修正幅度!C5:F9))</f>
        <v>0</v>
      </c>
      <c r="O1" s="2719"/>
      <c r="P1" s="2719"/>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f ca="1">C26</f>
        <v>47620</v>
      </c>
      <c r="C2" s="2721" t="s">
        <v>2811</v>
      </c>
      <c r="D2" s="2722" t="s">
        <v>2812</v>
      </c>
      <c r="E2" s="2723" t="s">
        <v>1377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Ⅱ—14</v>
      </c>
      <c r="J2" s="2725"/>
      <c r="K2" s="1371"/>
      <c r="L2" s="2726" t="s">
        <v>2815</v>
      </c>
      <c r="M2" s="1082">
        <f>SUMPRODUCT((区片价!B10:B28=I2)*(区片价!C3:F3=E2)*(区片价!C10:F28))</f>
        <v>24700</v>
      </c>
      <c r="N2" s="1084">
        <f>SUMPRODUCT((因素修正幅度!B10:B28=I2)*(因素修正幅度!C3:F3=E2)*(因素修正幅度!C10:F28))</f>
        <v>9.9000000000000005E-2</v>
      </c>
      <c r="O2" s="1371"/>
      <c r="P2" s="1371"/>
      <c r="Q2" s="1371"/>
      <c r="R2" s="1603">
        <v>1</v>
      </c>
      <c r="S2" s="1603">
        <f>ROUND(IF(G3&gt;1,IF(R2&lt;7,SUMPRODUCT((B93:B98=R2)*(C92:N92=G2)*(C93:N98)),SUMIF(C92:N92,G2,C100:N100)),IF(R2&lt;7,SUMPRODUCT((B102:B107=R2)*(C92:N92=G2)*(C102:N107)),SUMIF(C92:N92,G2,C109:N109))),4)</f>
        <v>1.9361999999999999</v>
      </c>
      <c r="T2" s="1603">
        <f ca="1">ROUND($C$5*$C$18*$C$19*$C$20*S2*$C$24,0)</f>
        <v>50016</v>
      </c>
      <c r="U2" s="1604"/>
      <c r="V2" s="1603">
        <f ca="1">ROUND(T2*U2/10000,0)</f>
        <v>0</v>
      </c>
      <c r="W2" s="1607"/>
      <c r="X2" s="1607"/>
      <c r="Y2" s="1607"/>
      <c r="Z2" s="1607"/>
      <c r="AA2" s="1607"/>
      <c r="AB2" s="1607"/>
      <c r="AC2" s="1608"/>
      <c r="AD2" s="1609"/>
      <c r="AE2" s="1609"/>
      <c r="AF2" s="1609"/>
      <c r="AG2" s="1609"/>
      <c r="AH2" s="1609"/>
      <c r="AI2" s="1609"/>
      <c r="AJ2" s="1610"/>
    </row>
    <row r="3" spans="1:36" ht="15.75">
      <c r="A3" s="247" t="s">
        <v>2816</v>
      </c>
      <c r="B3" s="248">
        <f ca="1">ROUND(B2*10000/D1,0)</f>
        <v>22569</v>
      </c>
      <c r="C3" s="2721" t="s">
        <v>2817</v>
      </c>
      <c r="D3" s="2722" t="s">
        <v>2818</v>
      </c>
      <c r="E3" s="2727" t="s">
        <v>3067</v>
      </c>
      <c r="F3" s="2728" t="s">
        <v>3072</v>
      </c>
      <c r="G3" s="914">
        <f>IF(F3="宗地容积率",'数据-汇总表'!I4,IF(F3="估价对象容积率",'数据-汇总表'!I6,'数据-汇总表'!I7))</f>
        <v>7.5</v>
      </c>
      <c r="H3" s="198" t="s">
        <v>2819</v>
      </c>
      <c r="I3" s="945"/>
      <c r="J3" s="2725" t="s">
        <v>2820</v>
      </c>
      <c r="K3" s="1371"/>
      <c r="L3" s="2726"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36677</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2"/>
      <c r="B4" s="3263"/>
      <c r="C4" s="3263"/>
      <c r="D4" s="3264"/>
      <c r="E4" s="3264"/>
      <c r="F4" s="3264"/>
      <c r="G4" s="3264"/>
      <c r="H4" s="3264"/>
      <c r="I4" s="3264"/>
      <c r="J4" s="3265"/>
      <c r="K4" s="1371"/>
      <c r="L4" s="2726"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29950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2823</v>
      </c>
      <c r="C5" s="915">
        <f>ROUND(IF(E2="商业",IF(F16="增加",C6*C7+C16,C6*C7-C16),IF(E2="住宅",IF(F16="增加",C6*C12+C16,C6*C12-C16),IF(F16="增加",C6+C16,C6-C16))),0)</f>
        <v>24686</v>
      </c>
      <c r="D5" s="1788">
        <f>ROUND(IF(E2="商业",IF(F16="增加",C6+C16,C6-C16)),0)</f>
        <v>24686</v>
      </c>
      <c r="E5" s="2731"/>
      <c r="F5" s="2731"/>
      <c r="G5" s="2732"/>
      <c r="H5" s="2732"/>
      <c r="I5" s="2732"/>
      <c r="J5" s="2733"/>
      <c r="K5" s="2734"/>
      <c r="L5" s="2726"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24856</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2825</v>
      </c>
      <c r="B6" s="2740" t="s">
        <v>2826</v>
      </c>
      <c r="C6" s="916">
        <f>SUMIF(L1:L12,G2,M1:M12)</f>
        <v>24700</v>
      </c>
      <c r="D6" s="2741" t="s">
        <v>2827</v>
      </c>
      <c r="E6" s="2742"/>
      <c r="F6" s="2742"/>
      <c r="G6" s="2743"/>
      <c r="H6" s="2743"/>
      <c r="I6" s="2743"/>
      <c r="J6" s="2744"/>
      <c r="K6" s="1843"/>
      <c r="L6" s="2726"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21743</v>
      </c>
      <c r="U6" s="1604"/>
      <c r="V6" s="1603">
        <f t="shared" ca="1" si="1"/>
        <v>0</v>
      </c>
      <c r="W6" s="1607"/>
      <c r="X6" s="1607"/>
      <c r="Y6" s="1607"/>
      <c r="Z6" s="1607"/>
      <c r="AA6" s="1607"/>
      <c r="AB6" s="1607"/>
      <c r="AC6" s="2735"/>
      <c r="AD6" s="2736"/>
      <c r="AE6" s="2736"/>
      <c r="AF6" s="2736"/>
      <c r="AG6" s="2736"/>
      <c r="AH6" s="2736"/>
      <c r="AI6" s="2736"/>
      <c r="AJ6" s="2737"/>
    </row>
    <row r="7" spans="1:36" ht="24">
      <c r="A7" s="3248" t="str">
        <f>IF(E2="商业",IF(C8="不临58条商业街","",2),"")</f>
        <v/>
      </c>
      <c r="B7" s="2745" t="s">
        <v>2829</v>
      </c>
      <c r="C7" s="917">
        <f>IF(C8="不临58条商业街",1,ROUND(1+(1.6*E8+1.2*E9+0.8*E10+0.4*E11)*C9,4))</f>
        <v>1</v>
      </c>
      <c r="D7" s="2746" t="s">
        <v>2830</v>
      </c>
      <c r="E7" s="946"/>
      <c r="F7" s="2747"/>
      <c r="G7" s="2748"/>
      <c r="H7" s="2748"/>
      <c r="I7" s="2748"/>
      <c r="J7" s="2749"/>
      <c r="K7" s="1843"/>
      <c r="L7" s="2726"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19653</v>
      </c>
      <c r="U7" s="1604"/>
      <c r="V7" s="1603">
        <f t="shared" ca="1" si="1"/>
        <v>0</v>
      </c>
      <c r="W7" s="1817" t="s">
        <v>2832</v>
      </c>
      <c r="X7" s="1605" t="str">
        <f>G2</f>
        <v>二级</v>
      </c>
      <c r="Y7" s="1605" t="s">
        <v>2833</v>
      </c>
      <c r="Z7" s="1606">
        <f>G3</f>
        <v>7.5</v>
      </c>
      <c r="AA7" s="1607"/>
      <c r="AB7" s="1607"/>
      <c r="AC7" s="1608"/>
      <c r="AD7" s="1609"/>
      <c r="AE7" s="1609"/>
      <c r="AF7" s="1609"/>
      <c r="AG7" s="1609"/>
      <c r="AH7" s="1609"/>
      <c r="AI7" s="1609"/>
      <c r="AJ7" s="1610"/>
    </row>
    <row r="8" spans="1:36" ht="25.5">
      <c r="A8" s="3249"/>
      <c r="B8" s="198" t="s">
        <v>2834</v>
      </c>
      <c r="C8" s="2750" t="s">
        <v>3069</v>
      </c>
      <c r="D8" s="918" t="s">
        <v>139</v>
      </c>
      <c r="E8" s="919" t="e">
        <f>ROUND(C11/E7,4)</f>
        <v>#DIV/0!</v>
      </c>
      <c r="F8" s="2751" t="s">
        <v>2835</v>
      </c>
      <c r="G8" s="2752"/>
      <c r="H8" s="2752"/>
      <c r="I8" s="2752"/>
      <c r="J8" s="2753"/>
      <c r="K8" s="1371"/>
      <c r="L8" s="2726"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59" t="s">
        <v>2837</v>
      </c>
      <c r="X8" s="3260"/>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49"/>
      <c r="B9" s="198" t="s">
        <v>2850</v>
      </c>
      <c r="C9" s="920">
        <f>SUMIF(修正!C59:C119,C8,修正!E59:E119)</f>
        <v>0</v>
      </c>
      <c r="D9" s="200" t="s">
        <v>140</v>
      </c>
      <c r="E9" s="200" t="e">
        <f>ROUND(C11/E7,4)</f>
        <v>#DIV/0!</v>
      </c>
      <c r="F9" s="2751" t="s">
        <v>2851</v>
      </c>
      <c r="G9" s="2752"/>
      <c r="H9" s="2752"/>
      <c r="I9" s="2752"/>
      <c r="J9" s="2753"/>
      <c r="K9" s="1371"/>
      <c r="L9" s="2726"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61"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9"/>
      <c r="B10" s="198" t="s">
        <v>2855</v>
      </c>
      <c r="C10" s="200">
        <f>SUMIF(修正!C59:C119,C8,修正!F59:F119)</f>
        <v>0</v>
      </c>
      <c r="D10" s="200" t="s">
        <v>141</v>
      </c>
      <c r="E10" s="200" t="e">
        <f>ROUND(C11/E7,4)</f>
        <v>#DIV/0!</v>
      </c>
      <c r="F10" s="2751" t="s">
        <v>2856</v>
      </c>
      <c r="G10" s="2752"/>
      <c r="H10" s="2752"/>
      <c r="I10" s="2752"/>
      <c r="J10" s="2753"/>
      <c r="K10" s="1371"/>
      <c r="L10" s="2726"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6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9"/>
      <c r="B11" s="2754" t="s">
        <v>2858</v>
      </c>
      <c r="C11" s="921">
        <f>C10/4</f>
        <v>0</v>
      </c>
      <c r="D11" s="921" t="s">
        <v>142</v>
      </c>
      <c r="E11" s="921" t="e">
        <f>ROUND(C11/E7,4)</f>
        <v>#DIV/0!</v>
      </c>
      <c r="F11" s="2755" t="s">
        <v>2859</v>
      </c>
      <c r="G11" s="2756"/>
      <c r="H11" s="2756"/>
      <c r="I11" s="2756"/>
      <c r="J11" s="2757"/>
      <c r="K11" s="1371"/>
      <c r="L11" s="2726"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61" t="s">
        <v>2861</v>
      </c>
      <c r="X11" s="1615" t="s">
        <v>2862</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5" thickBot="1">
      <c r="A12" s="3248" t="s">
        <v>2863</v>
      </c>
      <c r="B12" s="2758" t="s">
        <v>2864</v>
      </c>
      <c r="C12" s="917">
        <f>ROUND(C15*D15*E15*F15*G15*H15*I15*J15,4)</f>
        <v>1</v>
      </c>
      <c r="D12" s="2759" t="s">
        <v>2865</v>
      </c>
      <c r="E12" s="2760"/>
      <c r="F12" s="2760"/>
      <c r="G12" s="2761"/>
      <c r="H12" s="2761"/>
      <c r="I12" s="2761"/>
      <c r="J12" s="2762"/>
      <c r="K12" s="1371"/>
      <c r="L12" s="2763"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61"/>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6"/>
      <c r="B13" s="2764" t="s">
        <v>2868</v>
      </c>
      <c r="C13" s="2765" t="s">
        <v>2869</v>
      </c>
      <c r="D13" s="1809" t="s">
        <v>2870</v>
      </c>
      <c r="E13" s="1809" t="s">
        <v>2871</v>
      </c>
      <c r="F13" s="30" t="s">
        <v>2872</v>
      </c>
      <c r="G13" s="2766" t="s">
        <v>2873</v>
      </c>
      <c r="H13" s="2766" t="s">
        <v>2873</v>
      </c>
      <c r="I13" s="2766" t="s">
        <v>2873</v>
      </c>
      <c r="J13" s="2767" t="s">
        <v>2873</v>
      </c>
      <c r="K13" s="1371"/>
      <c r="L13" s="1371"/>
      <c r="M13" s="1371"/>
      <c r="N13" s="1371"/>
      <c r="O13" s="1371"/>
      <c r="P13" s="1371"/>
      <c r="Q13" s="1371"/>
      <c r="R13" s="1603">
        <v>12</v>
      </c>
      <c r="S13" s="1604"/>
      <c r="T13" s="1603">
        <f t="shared" ca="1" si="0"/>
        <v>0</v>
      </c>
      <c r="U13" s="1604"/>
      <c r="V13" s="1603">
        <f t="shared" ca="1" si="1"/>
        <v>0</v>
      </c>
      <c r="W13" s="3261"/>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266"/>
      <c r="B14" s="2768"/>
      <c r="C14" s="2769"/>
      <c r="D14" s="2770"/>
      <c r="E14" s="2770"/>
      <c r="F14" s="2771"/>
      <c r="G14" s="2772" t="s">
        <v>2874</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7"/>
      <c r="B15" s="2776" t="s">
        <v>2875</v>
      </c>
      <c r="C15" s="229">
        <f>IF(C14="有",1.1,1)</f>
        <v>1</v>
      </c>
      <c r="D15" s="229">
        <f>IF(D14="有",1.1,1)</f>
        <v>1</v>
      </c>
      <c r="E15" s="229">
        <f>IF(E14="有",1.1,1)</f>
        <v>1</v>
      </c>
      <c r="F15" s="229">
        <f>IF(F14="500米范围内",1.2,IF(F14="500-1000米",1.1,1))</f>
        <v>1</v>
      </c>
      <c r="G15" s="947">
        <v>1</v>
      </c>
      <c r="H15" s="947">
        <v>1</v>
      </c>
      <c r="I15" s="947">
        <v>1</v>
      </c>
      <c r="J15" s="948">
        <v>1</v>
      </c>
      <c r="K15" s="1371"/>
      <c r="L15" s="2777" t="s">
        <v>2812</v>
      </c>
      <c r="M15" s="918" t="s">
        <v>2876</v>
      </c>
      <c r="N15" s="918" t="s">
        <v>2877</v>
      </c>
      <c r="O15" s="918" t="s">
        <v>2878</v>
      </c>
      <c r="P15" s="2778" t="s">
        <v>2879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8" t="s">
        <v>2880</v>
      </c>
      <c r="B16" s="2745" t="s">
        <v>2881</v>
      </c>
      <c r="C16" s="1802">
        <f>ROUND(SUM(G17:J17)/C17,0)</f>
        <v>14</v>
      </c>
      <c r="D16" s="2779" t="s">
        <v>2882</v>
      </c>
      <c r="E16" s="2780" t="s">
        <v>3070</v>
      </c>
      <c r="F16" s="2781" t="s">
        <v>3071</v>
      </c>
      <c r="G16" s="2782" t="s">
        <v>3063</v>
      </c>
      <c r="H16" s="2782"/>
      <c r="I16" s="2782"/>
      <c r="J16" s="2783"/>
      <c r="K16" s="1371"/>
      <c r="L16" s="2784" t="s">
        <v>2883</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9"/>
      <c r="B17" s="2785" t="s">
        <v>2884</v>
      </c>
      <c r="C17" s="922">
        <f>SUMPRODUCT((修正!A2:A5=E2)*(修正!B1:M1=G2)*(修正!B2:M5))</f>
        <v>3.5</v>
      </c>
      <c r="D17" s="2786" t="s">
        <v>2885</v>
      </c>
      <c r="E17" s="921" t="str">
        <f>IF(OR(G2="八级",G2="九级",G2="十级",G2="十一级",G2="十二级"),"五通一平","七通一平")</f>
        <v>七通一平</v>
      </c>
      <c r="F17" s="922" t="s">
        <v>2886</v>
      </c>
      <c r="G17" s="922">
        <f>SUMPRODUCT((七通一平=G16)*(修正!B1:M1=G2)*(修正!B6:M14))</f>
        <v>50</v>
      </c>
      <c r="H17" s="922">
        <f>SUMPRODUCT((七通一平=H16)*(修正!B1:M1=G2)*(修正!B6:M14))</f>
        <v>0</v>
      </c>
      <c r="I17" s="922">
        <f>SUMPRODUCT((七通一平=I16)*(修正!B1:M1=G2)*(修正!B6:M14))</f>
        <v>0</v>
      </c>
      <c r="J17" s="923">
        <f>SUMPRODUCT((七通一平=J16)*(修正!B1:M1=G2)*(修正!B6:M14))</f>
        <v>0</v>
      </c>
      <c r="K17" s="1371"/>
      <c r="L17" s="2787"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2888</v>
      </c>
      <c r="C18" s="924">
        <f>SUMIF(修正!C18:C39,E3,修正!E18:E39)</f>
        <v>0.9</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2889</v>
      </c>
      <c r="C19" s="925">
        <f>ROUND(IF(H19="按公示增长率计算",SUMPRODUCT((地价!A3:A24=YEAR(G19)&amp;"-"&amp;ROUNDUP(MONTH(G19)/3,0))*(地价!X2:AB2=E2)*(地价!X3:AB24)),IF(H19="地价指数",M20/M19,(1+I19)^O19)),4)</f>
        <v>1.3217000000000001</v>
      </c>
      <c r="D19" s="2797" t="s">
        <v>2890</v>
      </c>
      <c r="E19" s="926">
        <v>41640</v>
      </c>
      <c r="F19" s="2797" t="s">
        <v>2891</v>
      </c>
      <c r="G19" s="927">
        <f>'数据-取费表'!B2</f>
        <v>43458</v>
      </c>
      <c r="H19" s="2798" t="s">
        <v>2892</v>
      </c>
      <c r="I19" s="928" t="str">
        <f>IF(H19="季度增幅（自定义）",SUMIF(N21:N24,E2,O21:O24),"")</f>
        <v/>
      </c>
      <c r="J19" s="2795"/>
      <c r="K19" s="1378"/>
      <c r="L19" s="2799" t="s">
        <v>2893</v>
      </c>
      <c r="M19" s="1735">
        <f>ROUND(SUMIF(地价!B2:F2,E2,地价!B24:F24),0)</f>
        <v>258</v>
      </c>
      <c r="N19" s="2800" t="s">
        <v>2894</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2895</v>
      </c>
      <c r="C20" s="930">
        <f ca="1">ROUND(POWER(1+G20,J20-I20)*(POWER(1+G20,I20)-1)/(POWER(1+G20,J20)-1),4)</f>
        <v>0.87970000000000004</v>
      </c>
      <c r="D20" s="2806" t="s">
        <v>2896</v>
      </c>
      <c r="E20" s="1769">
        <f ca="1">存贷款利率!D4/100</f>
        <v>4.3499999999999997E-2</v>
      </c>
      <c r="F20" s="2806" t="s">
        <v>2887</v>
      </c>
      <c r="G20" s="935">
        <f ca="1">SUMIF(M15:P15,E2,M17:P17)</f>
        <v>5.3999999999999999E-2</v>
      </c>
      <c r="H20" s="2806" t="s">
        <v>2897</v>
      </c>
      <c r="I20" s="936">
        <f>SUMIF('数据-取费表'!C6:C15,E2,'数据-取费表'!F6:F15)/COUNTIF('数据-取费表'!C6:C15,E2)</f>
        <v>28.14</v>
      </c>
      <c r="J20" s="937">
        <f>IF(E2="住宅",70,IF(E2="商业",40,50))</f>
        <v>40</v>
      </c>
      <c r="K20" s="1378"/>
      <c r="L20" s="2807" t="s">
        <v>2898</v>
      </c>
      <c r="M20" s="1736">
        <f>ROUND(SUMPRODUCT((地价!A4:A24=YEAR(G19)&amp;"-"&amp;ROUNDUP(MONTH(G19)/3,0))*(地价!B2:F2=E2)*(地价!B4:F24)),0)</f>
        <v>341</v>
      </c>
      <c r="N20" s="2808" t="s">
        <v>2899</v>
      </c>
      <c r="O20" s="2809" t="s">
        <v>2900</v>
      </c>
      <c r="P20" s="2810" t="s">
        <v>2901</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3068</v>
      </c>
      <c r="C21" s="938">
        <f>IF(B21="容积率修正",IF(G3&lt;=10,D22,J22),C23)</f>
        <v>0.87</v>
      </c>
      <c r="D21" s="2813"/>
      <c r="E21" s="2813"/>
      <c r="F21" s="2813"/>
      <c r="G21" s="2813"/>
      <c r="H21" s="2813"/>
      <c r="I21" s="2813"/>
      <c r="J21" s="2814"/>
      <c r="K21" s="1378"/>
      <c r="N21" s="2815" t="s">
        <v>2902</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4" t="s">
        <v>2903</v>
      </c>
      <c r="B22" s="2816" t="s">
        <v>2904</v>
      </c>
      <c r="C22" s="1811" t="s">
        <v>2905</v>
      </c>
      <c r="D22" s="1811">
        <f>IF(E22=G22,F22,IF(G3&lt;=10,ROUND(F22+(H22-F22)*(G3-E22)/(G22-E22),4),"——"))</f>
        <v>0.87</v>
      </c>
      <c r="E22" s="914">
        <f>ROUNDDOWN(G3,1)</f>
        <v>7.5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v>
      </c>
      <c r="G22" s="914">
        <f>ROUNDUP(G3,1)</f>
        <v>7.5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v>
      </c>
      <c r="I22" s="1811" t="s">
        <v>155</v>
      </c>
      <c r="J22" s="939" t="str">
        <f>IF(G3&gt;10,D113,"——")</f>
        <v>——</v>
      </c>
      <c r="K22" s="1378"/>
      <c r="N22" s="2815" t="s">
        <v>2906</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4" t="s">
        <v>2907</v>
      </c>
      <c r="B23" s="2817" t="s">
        <v>2908</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2909</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2910</v>
      </c>
      <c r="C24" s="925">
        <f>SUMIF(A45:A88,E2,B45:B88)</f>
        <v>1</v>
      </c>
      <c r="D24" s="2793"/>
      <c r="E24" s="2823"/>
      <c r="F24" s="2823"/>
      <c r="G24" s="2823"/>
      <c r="H24" s="2823"/>
      <c r="I24" s="2823"/>
      <c r="J24" s="2824"/>
      <c r="K24" s="1378"/>
      <c r="N24" s="2825" t="s">
        <v>2911</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2912</v>
      </c>
      <c r="C25" s="931"/>
      <c r="D25" s="2748"/>
      <c r="E25" s="2748"/>
      <c r="F25" s="2827"/>
      <c r="G25" s="2748"/>
      <c r="H25" s="2748"/>
      <c r="I25" s="2748"/>
      <c r="J25" s="2749"/>
      <c r="K25" s="1371"/>
      <c r="N25" s="2828" t="s">
        <v>2913</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9"/>
      <c r="B26" s="2816" t="s">
        <v>2914</v>
      </c>
      <c r="C26" s="206">
        <f ca="1">E29+SUM(E33:E39)</f>
        <v>47620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2915</v>
      </c>
      <c r="C27" s="932">
        <f ca="1">E30+SUM(I33:I39)</f>
        <v>2362</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2916</v>
      </c>
      <c r="C28" s="2840" t="s">
        <v>2917</v>
      </c>
      <c r="D28" s="2840" t="s">
        <v>2918</v>
      </c>
      <c r="E28" s="2841" t="s">
        <v>2919</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2920</v>
      </c>
      <c r="C29" s="206">
        <f ca="1">ROUND(C5*C18*C19*C20*C21*C24,0)</f>
        <v>22474</v>
      </c>
      <c r="D29" s="2845">
        <f>'数据-汇总表'!F20</f>
        <v>16984.89</v>
      </c>
      <c r="E29" s="943">
        <f ca="1">ROUND(C29*D29/10000,0)</f>
        <v>38172</v>
      </c>
      <c r="F29" s="2846" t="s">
        <v>2921</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2922</v>
      </c>
      <c r="C30" s="229">
        <f ca="1">ROUND(IF(E2="工业",C29*M39,C29*M38),0)</f>
        <v>5619</v>
      </c>
      <c r="D30" s="2851"/>
      <c r="E30" s="943">
        <f ca="1">ROUND(C30*D30/10000,0)</f>
        <v>0</v>
      </c>
      <c r="F30" s="2852" t="s">
        <v>2923</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2924</v>
      </c>
      <c r="C31" s="2857" t="s">
        <v>2925</v>
      </c>
      <c r="D31" s="2761"/>
      <c r="E31" s="2857"/>
      <c r="F31" s="2857"/>
      <c r="G31" s="2759" t="s">
        <v>2926</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2917</v>
      </c>
      <c r="D32" s="498" t="s">
        <v>2918</v>
      </c>
      <c r="E32" s="498" t="s">
        <v>2919</v>
      </c>
      <c r="F32" s="388" t="s">
        <v>2927</v>
      </c>
      <c r="G32" s="2860" t="s">
        <v>2917</v>
      </c>
      <c r="H32" s="2860" t="s">
        <v>2918</v>
      </c>
      <c r="I32" s="2860" t="s">
        <v>2919</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256" t="s">
        <v>2928</v>
      </c>
      <c r="B33" s="2861" t="s">
        <v>2929</v>
      </c>
      <c r="C33" s="206">
        <f ca="1">ROUND(D5*C19*C20*C24*F33,0)</f>
        <v>22962</v>
      </c>
      <c r="D33" s="2845">
        <f>'数据-基础表'!O17</f>
        <v>4114.75</v>
      </c>
      <c r="E33" s="200">
        <f ca="1">ROUND(C33*D33/10000,0)</f>
        <v>9448</v>
      </c>
      <c r="F33" s="200">
        <f>SUMIF(修正!A45:A56,G2,修正!B45:B56)</f>
        <v>0.8</v>
      </c>
      <c r="G33" s="200">
        <f ca="1">ROUND(IF(E2="工业",C33*$M$39,C33*$M$38),0)</f>
        <v>5741</v>
      </c>
      <c r="H33" s="200">
        <f>D33</f>
        <v>4114.75</v>
      </c>
      <c r="I33" s="200">
        <f ca="1">ROUND(G33*H33/10000,0)</f>
        <v>2362</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7"/>
      <c r="B34" s="2765" t="s">
        <v>2930</v>
      </c>
      <c r="C34" s="206">
        <f ca="1">ROUND(D5*C19*C20*C24*F34,0)</f>
        <v>14351</v>
      </c>
      <c r="D34" s="2845"/>
      <c r="E34" s="200">
        <f t="shared" ref="E34:E39" ca="1" si="6">ROUND(C34*D34/10000,0)</f>
        <v>0</v>
      </c>
      <c r="F34" s="200">
        <f>SUMIF(修正!A45:A56,G2,修正!C45:C56)</f>
        <v>0.5</v>
      </c>
      <c r="G34" s="200">
        <f ca="1">ROUND(IF(E2="工业",C34*$M$39,C34*$M$38),0)</f>
        <v>3588</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7"/>
      <c r="B35" s="2765" t="s">
        <v>2931</v>
      </c>
      <c r="C35" s="206">
        <f ca="1">ROUND(D5*C19*C20*C24*F35,0)</f>
        <v>10333</v>
      </c>
      <c r="D35" s="2845"/>
      <c r="E35" s="200">
        <f t="shared" ca="1" si="6"/>
        <v>0</v>
      </c>
      <c r="F35" s="200">
        <f>SUMIF(修正!A45:A56,G2,修正!D45:D56)</f>
        <v>0.36</v>
      </c>
      <c r="G35" s="200">
        <f ca="1">ROUND(IF(E2="工业",C35*$M$39,C35*$M$38),0)</f>
        <v>2583</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5" thickBot="1">
      <c r="A36" s="3258"/>
      <c r="B36" s="2765" t="s">
        <v>2932</v>
      </c>
      <c r="C36" s="206">
        <f ca="1">ROUND(D5*C19*C20*C24*F36,0)</f>
        <v>8611</v>
      </c>
      <c r="D36" s="2845"/>
      <c r="E36" s="200">
        <f t="shared" ca="1" si="6"/>
        <v>0</v>
      </c>
      <c r="F36" s="200">
        <f>SUMIF(修正!A45:A56,G2,修正!E45:E56)</f>
        <v>0.3</v>
      </c>
      <c r="G36" s="200">
        <f ca="1">ROUND(IF(E2="工业",C36*$M$39,C36*$M$38),0)</f>
        <v>2153</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2933</v>
      </c>
      <c r="C37" s="200">
        <f ca="1">ROUND(C5*C19*C20*C24*F37,0)</f>
        <v>8611</v>
      </c>
      <c r="D37" s="2845"/>
      <c r="E37" s="200">
        <f t="shared" ca="1" si="6"/>
        <v>0</v>
      </c>
      <c r="F37" s="206">
        <f>SUMIF(修正!A45:A56,G2,修正!F45:F56)</f>
        <v>0.3</v>
      </c>
      <c r="G37" s="200">
        <f ca="1">ROUND(IF(E2="工业",C37*$M$39,C37*$M$38),0)</f>
        <v>2153</v>
      </c>
      <c r="H37" s="200">
        <f t="shared" si="7"/>
        <v>0</v>
      </c>
      <c r="I37" s="200">
        <f t="shared" ca="1" si="8"/>
        <v>0</v>
      </c>
      <c r="J37" s="2862"/>
      <c r="K37" s="1371"/>
      <c r="L37" s="2864" t="s">
        <v>2934</v>
      </c>
      <c r="M37" s="2865"/>
      <c r="N37" s="1371"/>
      <c r="O37" s="1371"/>
      <c r="P37" s="1371"/>
      <c r="Q37" s="1371"/>
      <c r="R37" s="1371"/>
      <c r="S37" s="1371"/>
      <c r="T37" s="1371"/>
      <c r="U37" s="1371"/>
      <c r="V37" s="1371"/>
      <c r="W37" s="1371"/>
      <c r="X37" s="1371"/>
      <c r="Y37" s="1371"/>
      <c r="Z37" s="1372"/>
    </row>
    <row r="38" spans="1:37">
      <c r="A38" s="2863"/>
      <c r="B38" s="2765" t="s">
        <v>2935</v>
      </c>
      <c r="C38" s="200">
        <f ca="1">ROUND(C5*C19*C20*C24*F38,0)</f>
        <v>8611</v>
      </c>
      <c r="D38" s="2845"/>
      <c r="E38" s="200">
        <f t="shared" ca="1" si="6"/>
        <v>0</v>
      </c>
      <c r="F38" s="206">
        <f>SUMIF(修正!A45:A56,G2,修正!G45:G56)</f>
        <v>0.3</v>
      </c>
      <c r="G38" s="200">
        <f ca="1">ROUND(IF(E2="工业",C38*$M$39,C38*$M$38),0)</f>
        <v>2153</v>
      </c>
      <c r="H38" s="200">
        <f t="shared" si="7"/>
        <v>0</v>
      </c>
      <c r="I38" s="200">
        <f t="shared" ca="1" si="8"/>
        <v>0</v>
      </c>
      <c r="J38" s="2862"/>
      <c r="K38" s="1371"/>
      <c r="L38" s="1888" t="s">
        <v>2936</v>
      </c>
      <c r="M38" s="2866">
        <v>0.25</v>
      </c>
      <c r="N38" s="1371"/>
      <c r="O38" s="1371"/>
      <c r="P38" s="1371"/>
      <c r="Q38" s="1371"/>
      <c r="R38" s="1371"/>
      <c r="S38" s="1371"/>
      <c r="T38" s="1371"/>
      <c r="U38" s="1371"/>
      <c r="V38" s="1371"/>
      <c r="W38" s="1371"/>
      <c r="X38" s="1371"/>
      <c r="Y38" s="1371"/>
      <c r="Z38" s="1372"/>
    </row>
    <row r="39" spans="1:37" ht="13.5" thickBot="1">
      <c r="A39" s="2849"/>
      <c r="B39" s="2867" t="s">
        <v>2937</v>
      </c>
      <c r="C39" s="229">
        <f ca="1">ROUND(C5*C19*C20*C24*F39,0)</f>
        <v>7176</v>
      </c>
      <c r="D39" s="2851"/>
      <c r="E39" s="229">
        <f t="shared" ca="1" si="6"/>
        <v>0</v>
      </c>
      <c r="F39" s="933">
        <f>SUMIF(修正!A45:A56,G2,修正!H45:H56)</f>
        <v>0.25</v>
      </c>
      <c r="G39" s="229">
        <f ca="1">ROUND(IF(E2="工业",C39*$M$39,C39*$M$38),0)</f>
        <v>1794</v>
      </c>
      <c r="H39" s="229">
        <f t="shared" si="7"/>
        <v>0</v>
      </c>
      <c r="I39" s="229">
        <f t="shared" ca="1" si="8"/>
        <v>0</v>
      </c>
      <c r="J39" s="2868"/>
      <c r="K39" s="1371"/>
      <c r="L39" s="2869" t="s">
        <v>2879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2938</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2939</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2940</v>
      </c>
      <c r="B47" s="1810" t="s">
        <v>2941</v>
      </c>
      <c r="C47" s="1810" t="s">
        <v>2942</v>
      </c>
      <c r="D47" s="1810" t="s">
        <v>2943</v>
      </c>
      <c r="E47" s="817" t="s">
        <v>2944</v>
      </c>
      <c r="F47" s="2879" t="s">
        <v>2945</v>
      </c>
      <c r="G47" s="1810" t="s">
        <v>754</v>
      </c>
      <c r="H47" s="2880" t="s">
        <v>2946</v>
      </c>
      <c r="I47" s="1810" t="s">
        <v>2947</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78" t="s">
        <v>2948</v>
      </c>
      <c r="B48" s="2881" t="str">
        <f>估价对象房地状况!C4</f>
        <v>估价对象位于东直门商圈，周边商业氛围成熟，人流量大，商业繁华度好</v>
      </c>
      <c r="C48" s="2770"/>
      <c r="D48" s="1287">
        <f t="shared" ref="D48:D56" si="9">SUMIF($J$47:$N$47,C48,J48:N48)</f>
        <v>0</v>
      </c>
      <c r="E48" s="819">
        <f>ROUND(SUM(D48:D56),4)</f>
        <v>0</v>
      </c>
      <c r="F48" s="2501">
        <f>IF(E2="商业",SUMIF(L1:L12,G2,N1:N12),"——")</f>
        <v>9.9000000000000005E-2</v>
      </c>
      <c r="G48" s="1285"/>
      <c r="H48" s="1289">
        <f t="shared" ref="H48:H56" si="10">IFERROR(ROUNDDOWN($F$48*I48/2,4),"——")</f>
        <v>1.6299999999999999E-2</v>
      </c>
      <c r="I48" s="818">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51">
      <c r="A49" s="2878" t="s">
        <v>2949</v>
      </c>
      <c r="B49" s="2882" t="str">
        <f>估价对象房地状况!C18</f>
        <v>估价对象周边道路状况较好（机场高速、香河园路）、公共交通较通达（2、机场线东直门站，18路、916路香河园路，359、915路东直门外站）、停车便捷程度，综合评价交通便捷度较好</v>
      </c>
      <c r="C49" s="2770"/>
      <c r="D49" s="1287">
        <f t="shared" si="9"/>
        <v>0</v>
      </c>
      <c r="E49" s="820"/>
      <c r="F49" s="2501"/>
      <c r="G49" s="1285"/>
      <c r="H49" s="1289">
        <f t="shared" si="10"/>
        <v>1.23E-2</v>
      </c>
      <c r="I49" s="818">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c r="A50" s="2878" t="s">
        <v>2950</v>
      </c>
      <c r="B50" s="2882" t="str">
        <f>估价对象房地状况!C19</f>
        <v>较一致</v>
      </c>
      <c r="C50" s="2770"/>
      <c r="D50" s="1287">
        <f t="shared" si="9"/>
        <v>0</v>
      </c>
      <c r="E50" s="820"/>
      <c r="F50" s="2501"/>
      <c r="G50" s="1285"/>
      <c r="H50" s="1289">
        <f t="shared" si="10"/>
        <v>2.3999999999999998E-3</v>
      </c>
      <c r="I50" s="818">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36.75">
      <c r="A51" s="2878" t="s">
        <v>2951</v>
      </c>
      <c r="B51" s="2883" t="s">
        <v>2952</v>
      </c>
      <c r="C51" s="2770"/>
      <c r="D51" s="1287">
        <f t="shared" si="9"/>
        <v>0</v>
      </c>
      <c r="E51" s="820"/>
      <c r="F51" s="2501"/>
      <c r="G51" s="1285"/>
      <c r="H51" s="1289">
        <f t="shared" si="10"/>
        <v>2.3999999999999998E-3</v>
      </c>
      <c r="I51" s="818">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c r="A52" s="2878" t="s">
        <v>2953</v>
      </c>
      <c r="B52" s="2882">
        <f>估价对象房地状况!C24</f>
        <v>0</v>
      </c>
      <c r="C52" s="2770"/>
      <c r="D52" s="1287">
        <f t="shared" si="9"/>
        <v>0</v>
      </c>
      <c r="E52" s="820"/>
      <c r="F52" s="2501"/>
      <c r="G52" s="1285"/>
      <c r="H52" s="1289">
        <f t="shared" si="10"/>
        <v>3.8999999999999998E-3</v>
      </c>
      <c r="I52" s="818">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24">
      <c r="A53" s="2878" t="s">
        <v>2954</v>
      </c>
      <c r="B53" s="2884" t="s">
        <v>2955</v>
      </c>
      <c r="C53" s="2770"/>
      <c r="D53" s="1287">
        <f t="shared" si="9"/>
        <v>0</v>
      </c>
      <c r="E53" s="820"/>
      <c r="F53" s="2501"/>
      <c r="G53" s="1285"/>
      <c r="H53" s="1289">
        <f t="shared" si="10"/>
        <v>1.4E-3</v>
      </c>
      <c r="I53" s="818">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5.5">
      <c r="A54" s="2885" t="s">
        <v>2956</v>
      </c>
      <c r="B54" s="1726" t="str">
        <f>估价对象房地状况!C21</f>
        <v>估价对象所在区域公共配套设施齐备</v>
      </c>
      <c r="C54" s="2770"/>
      <c r="D54" s="1287">
        <f t="shared" si="9"/>
        <v>0</v>
      </c>
      <c r="E54" s="820"/>
      <c r="F54" s="2501"/>
      <c r="G54" s="1285"/>
      <c r="H54" s="1289">
        <f t="shared" si="10"/>
        <v>2.3999999999999998E-3</v>
      </c>
      <c r="I54" s="818">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5.5">
      <c r="A55" s="2885" t="s">
        <v>2957</v>
      </c>
      <c r="B55" s="2882" t="str">
        <f>估价对象房地状况!C22</f>
        <v>估价对象所在区域基础设施水平较高</v>
      </c>
      <c r="C55" s="2770"/>
      <c r="D55" s="1287">
        <f t="shared" si="9"/>
        <v>0</v>
      </c>
      <c r="E55" s="820"/>
      <c r="F55" s="2501"/>
      <c r="G55" s="1285"/>
      <c r="H55" s="1289">
        <f t="shared" si="10"/>
        <v>4.8999999999999998E-3</v>
      </c>
      <c r="I55" s="818">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39" thickBot="1">
      <c r="A56" s="2886" t="s">
        <v>2958</v>
      </c>
      <c r="B56" s="2887" t="str">
        <f>估价对象房地状况!C20</f>
        <v>区域自然环境：廉政文化公园；人文环境：自来水博物馆；综合评价环境状况较好</v>
      </c>
      <c r="C56" s="2770"/>
      <c r="D56" s="1287">
        <f t="shared" si="9"/>
        <v>0</v>
      </c>
      <c r="E56" s="823"/>
      <c r="F56" s="2501"/>
      <c r="G56" s="1285"/>
      <c r="H56" s="1289">
        <f t="shared" si="10"/>
        <v>2.8999999999999998E-3</v>
      </c>
      <c r="I56" s="822">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5">
      <c r="A57" s="2874" t="s">
        <v>2959</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2940</v>
      </c>
      <c r="B58" s="1810"/>
      <c r="C58" s="1810" t="s">
        <v>2942</v>
      </c>
      <c r="D58" s="1810" t="s">
        <v>2943</v>
      </c>
      <c r="E58" s="817" t="s">
        <v>2944</v>
      </c>
      <c r="F58" s="2879" t="s">
        <v>2960</v>
      </c>
      <c r="G58" s="1810" t="s">
        <v>754</v>
      </c>
      <c r="H58" s="2880" t="s">
        <v>2946</v>
      </c>
      <c r="I58" s="1810" t="s">
        <v>2947</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78" t="s">
        <v>2961</v>
      </c>
      <c r="B59" s="2881" t="str">
        <f>估价对象房地状况!C17</f>
        <v>估价对象位于东直门商圈，周边办公楼项目较多，入驻率高，办公集聚程度较好</v>
      </c>
      <c r="C59" s="2770"/>
      <c r="D59" s="1287">
        <f t="shared" ref="D59:D67" si="14">SUMIF($J$58:$N$58,C59,J59:N59)</f>
        <v>0</v>
      </c>
      <c r="E59" s="819">
        <f>ROUND(SUM(D59:D67),4)</f>
        <v>0</v>
      </c>
      <c r="F59" s="2501" t="str">
        <f>IF(E2="办公",SUMIF(L1:L12,G2,N1:N12),"——")</f>
        <v>——</v>
      </c>
      <c r="G59" s="1285"/>
      <c r="H59" s="1289" t="str">
        <f t="shared" ref="H59:H67" si="15">IFERROR(ROUNDDOWN($F$59*I59/2,4),"——")</f>
        <v>——</v>
      </c>
      <c r="I59" s="818">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51">
      <c r="A60" s="2878" t="s">
        <v>2949</v>
      </c>
      <c r="B60" s="2882" t="str">
        <f>估价对象房地状况!C18</f>
        <v>估价对象周边道路状况较好（机场高速、香河园路）、公共交通较通达（2、机场线东直门站，18路、916路香河园路，359、915路东直门外站）、停车便捷程度，综合评价交通便捷度较好</v>
      </c>
      <c r="C60" s="2770"/>
      <c r="D60" s="1287">
        <f t="shared" si="14"/>
        <v>0</v>
      </c>
      <c r="E60" s="820"/>
      <c r="F60" s="2501"/>
      <c r="G60" s="1285"/>
      <c r="H60" s="1289" t="str">
        <f t="shared" si="15"/>
        <v>——</v>
      </c>
      <c r="I60" s="818">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8" t="s">
        <v>2950</v>
      </c>
      <c r="B61" s="2882" t="str">
        <f>估价对象房地状况!C19</f>
        <v>较一致</v>
      </c>
      <c r="C61" s="2770"/>
      <c r="D61" s="1287">
        <f t="shared" si="14"/>
        <v>0</v>
      </c>
      <c r="E61" s="820"/>
      <c r="F61" s="2501"/>
      <c r="G61" s="1285"/>
      <c r="H61" s="1289" t="str">
        <f t="shared" si="15"/>
        <v>——</v>
      </c>
      <c r="I61" s="818">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36.75">
      <c r="A62" s="2878" t="s">
        <v>2951</v>
      </c>
      <c r="B62" s="2883" t="s">
        <v>2952</v>
      </c>
      <c r="C62" s="2770"/>
      <c r="D62" s="1287">
        <f t="shared" si="14"/>
        <v>0</v>
      </c>
      <c r="E62" s="820"/>
      <c r="F62" s="2501"/>
      <c r="G62" s="1285"/>
      <c r="H62" s="1289" t="str">
        <f t="shared" si="15"/>
        <v>——</v>
      </c>
      <c r="I62" s="818">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8" t="s">
        <v>2953</v>
      </c>
      <c r="B63" s="2882">
        <f>估价对象房地状况!C24</f>
        <v>0</v>
      </c>
      <c r="C63" s="2770"/>
      <c r="D63" s="1287">
        <f t="shared" si="14"/>
        <v>0</v>
      </c>
      <c r="E63" s="820"/>
      <c r="F63" s="2501"/>
      <c r="G63" s="1285"/>
      <c r="H63" s="1289" t="str">
        <f t="shared" si="15"/>
        <v>——</v>
      </c>
      <c r="I63" s="818">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24">
      <c r="A64" s="2878" t="s">
        <v>2954</v>
      </c>
      <c r="B64" s="2884" t="s">
        <v>2955</v>
      </c>
      <c r="C64" s="2770"/>
      <c r="D64" s="1287">
        <f t="shared" si="14"/>
        <v>0</v>
      </c>
      <c r="E64" s="820"/>
      <c r="F64" s="2501"/>
      <c r="G64" s="1285"/>
      <c r="H64" s="1289" t="str">
        <f t="shared" si="15"/>
        <v>——</v>
      </c>
      <c r="I64" s="818">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5.5">
      <c r="A65" s="2878" t="s">
        <v>2956</v>
      </c>
      <c r="B65" s="1726" t="str">
        <f>估价对象房地状况!C21</f>
        <v>估价对象所在区域公共配套设施齐备</v>
      </c>
      <c r="C65" s="2770"/>
      <c r="D65" s="1287">
        <f t="shared" si="14"/>
        <v>0</v>
      </c>
      <c r="E65" s="820"/>
      <c r="F65" s="2501"/>
      <c r="G65" s="1285"/>
      <c r="H65" s="1289" t="str">
        <f t="shared" si="15"/>
        <v>——</v>
      </c>
      <c r="I65" s="818">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5.5">
      <c r="A66" s="2878" t="s">
        <v>2957</v>
      </c>
      <c r="B66" s="1726" t="str">
        <f>估价对象房地状况!C22</f>
        <v>估价对象所在区域基础设施水平较高</v>
      </c>
      <c r="C66" s="2770"/>
      <c r="D66" s="1287">
        <f t="shared" si="14"/>
        <v>0</v>
      </c>
      <c r="E66" s="820"/>
      <c r="F66" s="2501"/>
      <c r="G66" s="1285"/>
      <c r="H66" s="1289" t="str">
        <f t="shared" si="15"/>
        <v>——</v>
      </c>
      <c r="I66" s="818">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39" thickBot="1">
      <c r="A67" s="2886" t="s">
        <v>2958</v>
      </c>
      <c r="B67" s="2888" t="str">
        <f>估价对象房地状况!C20</f>
        <v>区域自然环境：廉政文化公园；人文环境：自来水博物馆；综合评价环境状况较好</v>
      </c>
      <c r="C67" s="2770"/>
      <c r="D67" s="1287">
        <f t="shared" si="14"/>
        <v>0</v>
      </c>
      <c r="E67" s="823"/>
      <c r="F67" s="2501"/>
      <c r="G67" s="1285"/>
      <c r="H67" s="1289" t="str">
        <f t="shared" si="15"/>
        <v>——</v>
      </c>
      <c r="I67" s="822">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5">
      <c r="A68" s="2874" t="s">
        <v>2962</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2940</v>
      </c>
      <c r="B69" s="1810"/>
      <c r="C69" s="1810" t="s">
        <v>2942</v>
      </c>
      <c r="D69" s="1810" t="s">
        <v>2943</v>
      </c>
      <c r="E69" s="817" t="s">
        <v>2944</v>
      </c>
      <c r="F69" s="2879" t="s">
        <v>2960</v>
      </c>
      <c r="G69" s="1810" t="s">
        <v>754</v>
      </c>
      <c r="H69" s="2880" t="s">
        <v>2946</v>
      </c>
      <c r="I69" s="1810" t="s">
        <v>2947</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78" t="s">
        <v>2963</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51">
      <c r="A71" s="2878" t="s">
        <v>2949</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2950</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4.25">
      <c r="A73" s="2878" t="s">
        <v>2964</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5.5">
      <c r="A74" s="2878" t="s">
        <v>2956</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5.5">
      <c r="A75" s="2878" t="s">
        <v>2957</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24">
      <c r="A76" s="2878" t="s">
        <v>2954</v>
      </c>
      <c r="B76" s="2884" t="s">
        <v>2955</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38.25">
      <c r="A77" s="2878" t="s">
        <v>2958</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24.75" thickBot="1">
      <c r="A78" s="2886" t="s">
        <v>2965</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5">
      <c r="A79" s="2874" t="s">
        <v>2966</v>
      </c>
      <c r="B79" s="2875">
        <f>1+E81</f>
        <v>1</v>
      </c>
      <c r="C79" s="812"/>
      <c r="D79" s="812"/>
      <c r="E79" s="813"/>
      <c r="F79" s="2877"/>
      <c r="G79" s="6"/>
      <c r="H79" s="6"/>
      <c r="I79" s="6"/>
      <c r="J79" s="7"/>
      <c r="K79" s="7"/>
      <c r="L79" s="7"/>
      <c r="M79" s="7"/>
      <c r="N79" s="7"/>
      <c r="Z79" s="2720"/>
      <c r="AA79" s="2796"/>
      <c r="AG79" s="1373"/>
      <c r="AK79" s="2796"/>
    </row>
    <row r="80" spans="1:37" ht="24.75">
      <c r="A80" s="2878" t="s">
        <v>2940</v>
      </c>
      <c r="B80" s="1810"/>
      <c r="C80" s="1810" t="s">
        <v>2942</v>
      </c>
      <c r="D80" s="1810" t="s">
        <v>2943</v>
      </c>
      <c r="E80" s="817" t="s">
        <v>2944</v>
      </c>
      <c r="F80" s="2879" t="s">
        <v>2960</v>
      </c>
      <c r="G80" s="1810" t="s">
        <v>754</v>
      </c>
      <c r="H80" s="2880" t="s">
        <v>2946</v>
      </c>
      <c r="I80" s="1810" t="s">
        <v>2947</v>
      </c>
      <c r="J80" s="603" t="s">
        <v>2595</v>
      </c>
      <c r="K80" s="603" t="s">
        <v>2596</v>
      </c>
      <c r="L80" s="603" t="s">
        <v>2597</v>
      </c>
      <c r="M80" s="603" t="s">
        <v>2598</v>
      </c>
      <c r="N80" s="603" t="s">
        <v>2599</v>
      </c>
      <c r="Z80" s="2720"/>
      <c r="AA80" s="2796"/>
      <c r="AG80" s="1373"/>
      <c r="AK80" s="2796"/>
    </row>
    <row r="81" spans="1:37" ht="38.25">
      <c r="A81" s="2878" t="s">
        <v>2967</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51">
      <c r="A82" s="2878" t="s">
        <v>2949</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2950</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4.25">
      <c r="A84" s="2878" t="s">
        <v>2964</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5.5">
      <c r="A85" s="2878" t="s">
        <v>2956</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5.5">
      <c r="A86" s="2878" t="s">
        <v>2957</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24">
      <c r="A87" s="2878" t="s">
        <v>2954</v>
      </c>
      <c r="B87" s="2884" t="s">
        <v>2968</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39" thickBot="1">
      <c r="A88" s="2886" t="s">
        <v>2969</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250" t="s">
        <v>2970</v>
      </c>
      <c r="B90" s="3250"/>
      <c r="C90" s="3250"/>
      <c r="D90" s="3250"/>
      <c r="E90" s="3250"/>
      <c r="F90" s="3250"/>
      <c r="G90" s="3250"/>
      <c r="H90" s="3250"/>
      <c r="I90" s="3250"/>
      <c r="J90" s="3250"/>
      <c r="K90" s="2892"/>
      <c r="L90" s="2892"/>
      <c r="M90" s="2892"/>
      <c r="N90" s="2892"/>
    </row>
    <row r="91" spans="1:37">
      <c r="A91" s="3252" t="s">
        <v>2971</v>
      </c>
      <c r="B91" s="3252" t="s">
        <v>2972</v>
      </c>
      <c r="C91" s="2846" t="s">
        <v>2973</v>
      </c>
      <c r="D91" s="2847"/>
      <c r="E91" s="2847"/>
      <c r="F91" s="2847"/>
      <c r="G91" s="2847"/>
      <c r="H91" s="2847"/>
      <c r="I91" s="2847"/>
      <c r="J91" s="2893"/>
      <c r="K91" s="2894"/>
      <c r="L91" s="2894"/>
      <c r="M91" s="2894"/>
      <c r="N91" s="2894"/>
    </row>
    <row r="92" spans="1:37">
      <c r="A92" s="3252"/>
      <c r="B92" s="3252"/>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253" t="s">
        <v>2974</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4"/>
      <c r="B99" s="2895" t="s">
        <v>2854</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25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3" t="s">
        <v>2975</v>
      </c>
      <c r="B101" s="2899" t="s">
        <v>2976</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254"/>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254"/>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254"/>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254"/>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254"/>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254"/>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254"/>
      <c r="B108" s="3082" t="s">
        <v>2977</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255"/>
      <c r="B109" s="3083"/>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251" t="s">
        <v>2978</v>
      </c>
      <c r="B110" s="3251"/>
      <c r="C110" s="3251"/>
      <c r="D110" s="3251"/>
      <c r="E110" s="3251"/>
      <c r="F110" s="3251"/>
      <c r="G110" s="3251"/>
      <c r="H110" s="3251"/>
      <c r="I110" s="3251"/>
      <c r="J110" s="3251"/>
      <c r="K110" s="2901"/>
      <c r="L110" s="2901"/>
      <c r="M110" s="2901"/>
      <c r="N110" s="2901"/>
    </row>
    <row r="112" spans="1:14" ht="13.5" thickBot="1"/>
    <row r="113" spans="1:13" ht="25.5" thickBot="1">
      <c r="A113" s="901" t="s">
        <v>2979</v>
      </c>
      <c r="B113" s="1288">
        <f>G3</f>
        <v>7.5</v>
      </c>
      <c r="C113" s="902" t="s">
        <v>2980</v>
      </c>
      <c r="D113" s="903">
        <f>SUMPRODUCT((A115:A118=F113)*(B114:M114=H113)*B115:M118)</f>
        <v>0.86299999999999999</v>
      </c>
      <c r="E113" s="2724" t="s">
        <v>2812</v>
      </c>
      <c r="F113" s="2903" t="str">
        <f>E2</f>
        <v>商业</v>
      </c>
      <c r="G113" s="2724" t="s">
        <v>2813</v>
      </c>
      <c r="H113" s="2903" t="str">
        <f>G2</f>
        <v>二级</v>
      </c>
      <c r="I113" s="2724"/>
      <c r="J113" s="2904"/>
      <c r="K113" s="2904"/>
      <c r="L113" s="2904"/>
      <c r="M113" s="2904"/>
    </row>
    <row r="114" spans="1:13">
      <c r="A114" s="906"/>
      <c r="B114" s="2905" t="s">
        <v>2981</v>
      </c>
      <c r="C114" s="2905" t="s">
        <v>2982</v>
      </c>
      <c r="D114" s="2905" t="s">
        <v>2983</v>
      </c>
      <c r="E114" s="2906" t="s">
        <v>2984</v>
      </c>
      <c r="F114" s="2906" t="s">
        <v>2985</v>
      </c>
      <c r="G114" s="2906" t="s">
        <v>2986</v>
      </c>
      <c r="H114" s="2907" t="s">
        <v>2987</v>
      </c>
      <c r="I114" s="2907" t="s">
        <v>2988</v>
      </c>
      <c r="J114" s="2908" t="s">
        <v>2989</v>
      </c>
      <c r="K114" s="2908" t="s">
        <v>2990</v>
      </c>
      <c r="L114" s="2908" t="s">
        <v>2991</v>
      </c>
      <c r="M114" s="2909" t="s">
        <v>2992</v>
      </c>
    </row>
    <row r="115" spans="1:13">
      <c r="A115" s="907" t="s">
        <v>2876</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2877</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2878</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5" thickBot="1">
      <c r="A118" s="714" t="s">
        <v>2879</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8" t="s">
        <v>183</v>
      </c>
      <c r="B18" s="880" t="s">
        <v>560</v>
      </c>
      <c r="C18" s="881" t="s">
        <v>561</v>
      </c>
      <c r="D18" s="882"/>
      <c r="E18" s="880">
        <v>1</v>
      </c>
      <c r="F18" s="883" t="s">
        <v>562</v>
      </c>
      <c r="G18" s="884"/>
      <c r="H18" s="876"/>
      <c r="I18" s="876"/>
    </row>
    <row r="19" spans="1:9" s="885" customFormat="1" ht="19.5" customHeight="1">
      <c r="A19" s="3268"/>
      <c r="B19" s="3268" t="s">
        <v>563</v>
      </c>
      <c r="C19" s="881" t="s">
        <v>564</v>
      </c>
      <c r="D19" s="882"/>
      <c r="E19" s="880">
        <v>0.9</v>
      </c>
      <c r="F19" s="883" t="s">
        <v>565</v>
      </c>
      <c r="G19" s="884"/>
      <c r="H19" s="876"/>
      <c r="I19" s="876"/>
    </row>
    <row r="20" spans="1:9" s="885" customFormat="1" ht="19.5" customHeight="1">
      <c r="A20" s="3268"/>
      <c r="B20" s="3268"/>
      <c r="C20" s="881" t="s">
        <v>566</v>
      </c>
      <c r="D20" s="882"/>
      <c r="E20" s="880">
        <v>1.1000000000000001</v>
      </c>
      <c r="F20" s="883" t="s">
        <v>567</v>
      </c>
      <c r="G20" s="884"/>
      <c r="H20" s="876"/>
      <c r="I20" s="876"/>
    </row>
    <row r="21" spans="1:9" s="885" customFormat="1" ht="19.5" customHeight="1">
      <c r="A21" s="3268"/>
      <c r="B21" s="3268"/>
      <c r="C21" s="881" t="s">
        <v>568</v>
      </c>
      <c r="D21" s="882"/>
      <c r="E21" s="880">
        <v>0.8</v>
      </c>
      <c r="F21" s="883" t="s">
        <v>569</v>
      </c>
      <c r="G21" s="884"/>
      <c r="H21" s="876"/>
      <c r="I21" s="876"/>
    </row>
    <row r="22" spans="1:9" s="885" customFormat="1" ht="19.5" customHeight="1">
      <c r="A22" s="3268"/>
      <c r="B22" s="3268"/>
      <c r="C22" s="881" t="s">
        <v>570</v>
      </c>
      <c r="D22" s="882"/>
      <c r="E22" s="880">
        <v>0.5</v>
      </c>
      <c r="F22" s="883"/>
      <c r="G22" s="884"/>
      <c r="H22" s="876"/>
      <c r="I22" s="876"/>
    </row>
    <row r="23" spans="1:9" s="885" customFormat="1" ht="19.5" customHeight="1">
      <c r="A23" s="3268" t="s">
        <v>184</v>
      </c>
      <c r="B23" s="880" t="s">
        <v>560</v>
      </c>
      <c r="C23" s="881" t="s">
        <v>571</v>
      </c>
      <c r="D23" s="882"/>
      <c r="E23" s="880">
        <v>1</v>
      </c>
      <c r="F23" s="883" t="s">
        <v>572</v>
      </c>
      <c r="G23" s="884"/>
      <c r="H23" s="876"/>
      <c r="I23" s="876"/>
    </row>
    <row r="24" spans="1:9" s="885" customFormat="1" ht="19.5" customHeight="1">
      <c r="A24" s="3268"/>
      <c r="B24" s="3268" t="s">
        <v>563</v>
      </c>
      <c r="C24" s="881" t="s">
        <v>573</v>
      </c>
      <c r="D24" s="882"/>
      <c r="E24" s="880">
        <v>0.5</v>
      </c>
      <c r="F24" s="883"/>
      <c r="G24" s="884"/>
      <c r="H24" s="876"/>
      <c r="I24" s="876"/>
    </row>
    <row r="25" spans="1:9" s="885" customFormat="1" ht="19.5" customHeight="1">
      <c r="A25" s="3268"/>
      <c r="B25" s="3268"/>
      <c r="C25" s="881" t="s">
        <v>574</v>
      </c>
      <c r="D25" s="882"/>
      <c r="E25" s="880">
        <v>1.1000000000000001</v>
      </c>
      <c r="F25" s="883"/>
      <c r="G25" s="884"/>
      <c r="H25" s="876"/>
      <c r="I25" s="876"/>
    </row>
    <row r="26" spans="1:9" s="885" customFormat="1" ht="19.5" customHeight="1">
      <c r="A26" s="3268"/>
      <c r="B26" s="3268"/>
      <c r="C26" s="881" t="s">
        <v>575</v>
      </c>
      <c r="D26" s="882"/>
      <c r="E26" s="880">
        <v>1.1000000000000001</v>
      </c>
      <c r="F26" s="883"/>
      <c r="G26" s="884"/>
      <c r="H26" s="876"/>
      <c r="I26" s="876"/>
    </row>
    <row r="27" spans="1:9" s="885" customFormat="1" ht="19.5" customHeight="1">
      <c r="A27" s="3268"/>
      <c r="B27" s="3268"/>
      <c r="C27" s="881" t="s">
        <v>576</v>
      </c>
      <c r="D27" s="882"/>
      <c r="E27" s="880">
        <v>0.9</v>
      </c>
      <c r="F27" s="883" t="s">
        <v>577</v>
      </c>
      <c r="G27" s="884"/>
      <c r="H27" s="876"/>
      <c r="I27" s="876"/>
    </row>
    <row r="28" spans="1:9" s="885" customFormat="1" ht="19.5" customHeight="1">
      <c r="A28" s="3268"/>
      <c r="B28" s="3268"/>
      <c r="C28" s="881" t="s">
        <v>578</v>
      </c>
      <c r="D28" s="882"/>
      <c r="E28" s="880">
        <v>0.9</v>
      </c>
      <c r="F28" s="883" t="s">
        <v>579</v>
      </c>
      <c r="G28" s="884"/>
      <c r="H28" s="876"/>
      <c r="I28" s="876"/>
    </row>
    <row r="29" spans="1:9" s="885" customFormat="1" ht="19.5" customHeight="1">
      <c r="A29" s="3268"/>
      <c r="B29" s="3268"/>
      <c r="C29" s="881" t="s">
        <v>580</v>
      </c>
      <c r="D29" s="882"/>
      <c r="E29" s="880">
        <v>0.9</v>
      </c>
      <c r="F29" s="883" t="s">
        <v>581</v>
      </c>
      <c r="G29" s="884"/>
      <c r="H29" s="876"/>
      <c r="I29" s="876"/>
    </row>
    <row r="30" spans="1:9" s="885" customFormat="1" ht="19.5" customHeight="1">
      <c r="A30" s="3268"/>
      <c r="B30" s="3268"/>
      <c r="C30" s="881" t="s">
        <v>582</v>
      </c>
      <c r="D30" s="882"/>
      <c r="E30" s="880">
        <v>0.9</v>
      </c>
      <c r="F30" s="883" t="s">
        <v>583</v>
      </c>
      <c r="G30" s="884"/>
      <c r="H30" s="876"/>
      <c r="I30" s="876"/>
    </row>
    <row r="31" spans="1:9" s="885" customFormat="1" ht="19.5" customHeight="1">
      <c r="A31" s="3268"/>
      <c r="B31" s="3268"/>
      <c r="C31" s="881" t="s">
        <v>584</v>
      </c>
      <c r="D31" s="882"/>
      <c r="E31" s="880">
        <v>0.8</v>
      </c>
      <c r="F31" s="883" t="s">
        <v>585</v>
      </c>
      <c r="G31" s="884"/>
      <c r="H31" s="876"/>
      <c r="I31" s="876"/>
    </row>
    <row r="32" spans="1:9" s="885" customFormat="1" ht="19.5" customHeight="1">
      <c r="A32" s="3268"/>
      <c r="B32" s="3268"/>
      <c r="C32" s="881" t="s">
        <v>586</v>
      </c>
      <c r="D32" s="882"/>
      <c r="E32" s="880">
        <v>0.8</v>
      </c>
      <c r="F32" s="883" t="s">
        <v>587</v>
      </c>
      <c r="G32" s="884"/>
      <c r="H32" s="876"/>
      <c r="I32" s="876"/>
    </row>
    <row r="33" spans="1:9" s="885" customFormat="1" ht="19.5" customHeight="1">
      <c r="A33" s="3268" t="s">
        <v>185</v>
      </c>
      <c r="B33" s="880" t="s">
        <v>560</v>
      </c>
      <c r="C33" s="881" t="s">
        <v>588</v>
      </c>
      <c r="D33" s="882"/>
      <c r="E33" s="880">
        <v>1</v>
      </c>
      <c r="F33" s="883" t="s">
        <v>589</v>
      </c>
      <c r="G33" s="884"/>
      <c r="H33" s="876"/>
      <c r="I33" s="876"/>
    </row>
    <row r="34" spans="1:9" s="885" customFormat="1" ht="19.5" customHeight="1">
      <c r="A34" s="3268"/>
      <c r="B34" s="880" t="s">
        <v>563</v>
      </c>
      <c r="C34" s="881" t="s">
        <v>590</v>
      </c>
      <c r="D34" s="882"/>
      <c r="E34" s="880">
        <v>1.5</v>
      </c>
      <c r="F34" s="883" t="s">
        <v>591</v>
      </c>
      <c r="G34" s="884"/>
      <c r="H34" s="876"/>
      <c r="I34" s="876"/>
    </row>
    <row r="35" spans="1:9" s="885" customFormat="1" ht="19.5" customHeight="1">
      <c r="A35" s="3268" t="s">
        <v>186</v>
      </c>
      <c r="B35" s="880" t="s">
        <v>560</v>
      </c>
      <c r="C35" s="881" t="s">
        <v>592</v>
      </c>
      <c r="D35" s="882"/>
      <c r="E35" s="880">
        <v>1</v>
      </c>
      <c r="F35" s="883" t="s">
        <v>593</v>
      </c>
      <c r="G35" s="884"/>
      <c r="H35" s="876"/>
      <c r="I35" s="876"/>
    </row>
    <row r="36" spans="1:9" s="885" customFormat="1" ht="19.5" customHeight="1">
      <c r="A36" s="3268"/>
      <c r="B36" s="3268" t="s">
        <v>563</v>
      </c>
      <c r="C36" s="881" t="s">
        <v>594</v>
      </c>
      <c r="D36" s="882"/>
      <c r="E36" s="880">
        <v>1</v>
      </c>
      <c r="F36" s="883" t="s">
        <v>595</v>
      </c>
      <c r="G36" s="884"/>
      <c r="H36" s="876"/>
      <c r="I36" s="876"/>
    </row>
    <row r="37" spans="1:9" s="885" customFormat="1" ht="19.5" customHeight="1">
      <c r="A37" s="3268"/>
      <c r="B37" s="3268"/>
      <c r="C37" s="881" t="s">
        <v>596</v>
      </c>
      <c r="D37" s="882"/>
      <c r="E37" s="880">
        <v>1.5</v>
      </c>
      <c r="F37" s="883" t="s">
        <v>597</v>
      </c>
      <c r="G37" s="884"/>
      <c r="H37" s="876"/>
      <c r="I37" s="876"/>
    </row>
    <row r="38" spans="1:9" s="885" customFormat="1" ht="19.5" customHeight="1">
      <c r="A38" s="3268"/>
      <c r="B38" s="3268"/>
      <c r="C38" s="881" t="s">
        <v>598</v>
      </c>
      <c r="D38" s="882"/>
      <c r="E38" s="880">
        <v>1</v>
      </c>
      <c r="F38" s="883" t="s">
        <v>599</v>
      </c>
      <c r="G38" s="884"/>
      <c r="H38" s="876"/>
      <c r="I38" s="876"/>
    </row>
    <row r="39" spans="1:9" s="885" customFormat="1" ht="19.5" customHeight="1">
      <c r="A39" s="3268"/>
      <c r="B39" s="326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8" t="s">
        <v>614</v>
      </c>
      <c r="C61" s="816" t="s">
        <v>615</v>
      </c>
      <c r="D61" s="816" t="s">
        <v>616</v>
      </c>
      <c r="E61" s="893">
        <v>0.5</v>
      </c>
      <c r="F61" s="880">
        <v>80</v>
      </c>
    </row>
    <row r="62" spans="1:8" s="876" customFormat="1" ht="24">
      <c r="A62" s="880">
        <v>2</v>
      </c>
      <c r="B62" s="3268"/>
      <c r="C62" s="816" t="s">
        <v>617</v>
      </c>
      <c r="D62" s="816" t="s">
        <v>618</v>
      </c>
      <c r="E62" s="893">
        <v>0.5</v>
      </c>
      <c r="F62" s="880">
        <v>80</v>
      </c>
    </row>
    <row r="63" spans="1:8" s="876" customFormat="1" ht="36">
      <c r="A63" s="880">
        <v>3</v>
      </c>
      <c r="B63" s="3268"/>
      <c r="C63" s="816" t="s">
        <v>619</v>
      </c>
      <c r="D63" s="816" t="s">
        <v>620</v>
      </c>
      <c r="E63" s="893">
        <v>0.5</v>
      </c>
      <c r="F63" s="880">
        <v>80</v>
      </c>
    </row>
    <row r="64" spans="1:8" s="876" customFormat="1" ht="36">
      <c r="A64" s="880">
        <v>4</v>
      </c>
      <c r="B64" s="3268"/>
      <c r="C64" s="816" t="s">
        <v>621</v>
      </c>
      <c r="D64" s="816" t="s">
        <v>622</v>
      </c>
      <c r="E64" s="893">
        <v>0.4</v>
      </c>
      <c r="F64" s="880">
        <v>60</v>
      </c>
    </row>
    <row r="65" spans="1:6" s="876" customFormat="1" ht="36">
      <c r="A65" s="880">
        <v>5</v>
      </c>
      <c r="B65" s="3268"/>
      <c r="C65" s="816" t="s">
        <v>623</v>
      </c>
      <c r="D65" s="816" t="s">
        <v>624</v>
      </c>
      <c r="E65" s="893">
        <v>0.2</v>
      </c>
      <c r="F65" s="880">
        <v>30</v>
      </c>
    </row>
    <row r="66" spans="1:6" s="876" customFormat="1" ht="36">
      <c r="A66" s="880">
        <v>6</v>
      </c>
      <c r="B66" s="3268"/>
      <c r="C66" s="816" t="s">
        <v>625</v>
      </c>
      <c r="D66" s="816" t="s">
        <v>626</v>
      </c>
      <c r="E66" s="893">
        <v>0.3</v>
      </c>
      <c r="F66" s="880">
        <v>50</v>
      </c>
    </row>
    <row r="67" spans="1:6" s="876" customFormat="1" ht="36">
      <c r="A67" s="880">
        <v>7</v>
      </c>
      <c r="B67" s="3268"/>
      <c r="C67" s="816" t="s">
        <v>627</v>
      </c>
      <c r="D67" s="816" t="s">
        <v>628</v>
      </c>
      <c r="E67" s="893">
        <v>0.2</v>
      </c>
      <c r="F67" s="880">
        <v>30</v>
      </c>
    </row>
    <row r="68" spans="1:6" s="876" customFormat="1" ht="36">
      <c r="A68" s="880">
        <v>8</v>
      </c>
      <c r="B68" s="3268"/>
      <c r="C68" s="816" t="s">
        <v>629</v>
      </c>
      <c r="D68" s="816" t="s">
        <v>630</v>
      </c>
      <c r="E68" s="893">
        <v>0.2</v>
      </c>
      <c r="F68" s="880">
        <v>30</v>
      </c>
    </row>
    <row r="69" spans="1:6" s="876" customFormat="1" ht="36">
      <c r="A69" s="880">
        <v>9</v>
      </c>
      <c r="B69" s="3268"/>
      <c r="C69" s="816" t="s">
        <v>631</v>
      </c>
      <c r="D69" s="816" t="s">
        <v>632</v>
      </c>
      <c r="E69" s="893">
        <v>0.2</v>
      </c>
      <c r="F69" s="880">
        <v>30</v>
      </c>
    </row>
    <row r="70" spans="1:6" s="876" customFormat="1" ht="48">
      <c r="A70" s="880">
        <v>10</v>
      </c>
      <c r="B70" s="3268"/>
      <c r="C70" s="816" t="s">
        <v>633</v>
      </c>
      <c r="D70" s="816" t="s">
        <v>634</v>
      </c>
      <c r="E70" s="893">
        <v>0.2</v>
      </c>
      <c r="F70" s="880">
        <v>30</v>
      </c>
    </row>
    <row r="71" spans="1:6" s="876" customFormat="1" ht="48">
      <c r="A71" s="880">
        <v>11</v>
      </c>
      <c r="B71" s="3268"/>
      <c r="C71" s="816" t="s">
        <v>635</v>
      </c>
      <c r="D71" s="816" t="s">
        <v>636</v>
      </c>
      <c r="E71" s="893">
        <v>0.2</v>
      </c>
      <c r="F71" s="880">
        <v>30</v>
      </c>
    </row>
    <row r="72" spans="1:6" s="876" customFormat="1" ht="36">
      <c r="A72" s="880">
        <v>12</v>
      </c>
      <c r="B72" s="3268"/>
      <c r="C72" s="816" t="s">
        <v>637</v>
      </c>
      <c r="D72" s="816" t="s">
        <v>638</v>
      </c>
      <c r="E72" s="893">
        <v>0.5</v>
      </c>
      <c r="F72" s="880">
        <v>80</v>
      </c>
    </row>
    <row r="73" spans="1:6" s="876" customFormat="1" ht="24">
      <c r="A73" s="880">
        <v>13</v>
      </c>
      <c r="B73" s="3268"/>
      <c r="C73" s="816" t="s">
        <v>639</v>
      </c>
      <c r="D73" s="816" t="s">
        <v>640</v>
      </c>
      <c r="E73" s="893">
        <v>0.4</v>
      </c>
      <c r="F73" s="880">
        <v>60</v>
      </c>
    </row>
    <row r="74" spans="1:6" s="876" customFormat="1" ht="24">
      <c r="A74" s="880">
        <v>14</v>
      </c>
      <c r="B74" s="3268"/>
      <c r="C74" s="816" t="s">
        <v>641</v>
      </c>
      <c r="D74" s="816" t="s">
        <v>642</v>
      </c>
      <c r="E74" s="893">
        <v>0.2</v>
      </c>
      <c r="F74" s="880">
        <v>30</v>
      </c>
    </row>
    <row r="75" spans="1:6" s="876" customFormat="1" ht="24">
      <c r="A75" s="880">
        <v>15</v>
      </c>
      <c r="B75" s="3268"/>
      <c r="C75" s="816" t="s">
        <v>643</v>
      </c>
      <c r="D75" s="816" t="s">
        <v>644</v>
      </c>
      <c r="E75" s="893">
        <v>0.2</v>
      </c>
      <c r="F75" s="880">
        <v>30</v>
      </c>
    </row>
    <row r="76" spans="1:6" s="876" customFormat="1" ht="24">
      <c r="A76" s="880">
        <v>16</v>
      </c>
      <c r="B76" s="3268" t="s">
        <v>645</v>
      </c>
      <c r="C76" s="816" t="s">
        <v>646</v>
      </c>
      <c r="D76" s="816" t="s">
        <v>647</v>
      </c>
      <c r="E76" s="893">
        <v>0.5</v>
      </c>
      <c r="F76" s="880">
        <v>80</v>
      </c>
    </row>
    <row r="77" spans="1:6" s="876" customFormat="1" ht="24">
      <c r="A77" s="880">
        <v>17</v>
      </c>
      <c r="B77" s="3268"/>
      <c r="C77" s="816" t="s">
        <v>648</v>
      </c>
      <c r="D77" s="816" t="s">
        <v>649</v>
      </c>
      <c r="E77" s="893">
        <v>0.5</v>
      </c>
      <c r="F77" s="880">
        <v>80</v>
      </c>
    </row>
    <row r="78" spans="1:6" s="876" customFormat="1" ht="24">
      <c r="A78" s="880">
        <v>18</v>
      </c>
      <c r="B78" s="3268"/>
      <c r="C78" s="816" t="s">
        <v>650</v>
      </c>
      <c r="D78" s="816" t="s">
        <v>651</v>
      </c>
      <c r="E78" s="893">
        <v>0.2</v>
      </c>
      <c r="F78" s="880">
        <v>30</v>
      </c>
    </row>
    <row r="79" spans="1:6" s="876" customFormat="1" ht="24">
      <c r="A79" s="880">
        <v>19</v>
      </c>
      <c r="B79" s="3268"/>
      <c r="C79" s="816" t="s">
        <v>652</v>
      </c>
      <c r="D79" s="816" t="s">
        <v>653</v>
      </c>
      <c r="E79" s="893">
        <v>0.5</v>
      </c>
      <c r="F79" s="880">
        <v>80</v>
      </c>
    </row>
    <row r="80" spans="1:6" s="876" customFormat="1" ht="36">
      <c r="A80" s="880">
        <v>20</v>
      </c>
      <c r="B80" s="3268"/>
      <c r="C80" s="816" t="s">
        <v>654</v>
      </c>
      <c r="D80" s="816" t="s">
        <v>655</v>
      </c>
      <c r="E80" s="893">
        <v>0.2</v>
      </c>
      <c r="F80" s="880">
        <v>30</v>
      </c>
    </row>
    <row r="81" spans="1:6" s="876" customFormat="1" ht="36">
      <c r="A81" s="880">
        <v>21</v>
      </c>
      <c r="B81" s="3268"/>
      <c r="C81" s="816" t="s">
        <v>656</v>
      </c>
      <c r="D81" s="816" t="s">
        <v>657</v>
      </c>
      <c r="E81" s="893">
        <v>0.2</v>
      </c>
      <c r="F81" s="880">
        <v>30</v>
      </c>
    </row>
    <row r="82" spans="1:6" s="876" customFormat="1" ht="48">
      <c r="A82" s="880">
        <v>22</v>
      </c>
      <c r="B82" s="3268"/>
      <c r="C82" s="816" t="s">
        <v>658</v>
      </c>
      <c r="D82" s="816" t="s">
        <v>659</v>
      </c>
      <c r="E82" s="893">
        <v>0.2</v>
      </c>
      <c r="F82" s="880">
        <v>30</v>
      </c>
    </row>
    <row r="83" spans="1:6" s="876" customFormat="1" ht="48">
      <c r="A83" s="880">
        <v>23</v>
      </c>
      <c r="B83" s="3268"/>
      <c r="C83" s="816" t="s">
        <v>660</v>
      </c>
      <c r="D83" s="816" t="s">
        <v>661</v>
      </c>
      <c r="E83" s="893">
        <v>0.2</v>
      </c>
      <c r="F83" s="880">
        <v>30</v>
      </c>
    </row>
    <row r="84" spans="1:6" s="876" customFormat="1" ht="36">
      <c r="A84" s="880">
        <v>24</v>
      </c>
      <c r="B84" s="3268"/>
      <c r="C84" s="816" t="s">
        <v>662</v>
      </c>
      <c r="D84" s="816" t="s">
        <v>663</v>
      </c>
      <c r="E84" s="893">
        <v>0.2</v>
      </c>
      <c r="F84" s="880">
        <v>30</v>
      </c>
    </row>
    <row r="85" spans="1:6" s="876" customFormat="1" ht="36">
      <c r="A85" s="880">
        <v>25</v>
      </c>
      <c r="B85" s="3268"/>
      <c r="C85" s="816" t="s">
        <v>664</v>
      </c>
      <c r="D85" s="816" t="s">
        <v>665</v>
      </c>
      <c r="E85" s="893">
        <v>0.5</v>
      </c>
      <c r="F85" s="880">
        <v>80</v>
      </c>
    </row>
    <row r="86" spans="1:6" s="876" customFormat="1" ht="36">
      <c r="A86" s="880">
        <v>26</v>
      </c>
      <c r="B86" s="3268"/>
      <c r="C86" s="816" t="s">
        <v>666</v>
      </c>
      <c r="D86" s="816" t="s">
        <v>667</v>
      </c>
      <c r="E86" s="893">
        <v>0.2</v>
      </c>
      <c r="F86" s="880">
        <v>30</v>
      </c>
    </row>
    <row r="87" spans="1:6" s="876" customFormat="1" ht="36">
      <c r="A87" s="880">
        <v>27</v>
      </c>
      <c r="B87" s="3268"/>
      <c r="C87" s="816" t="s">
        <v>668</v>
      </c>
      <c r="D87" s="816" t="s">
        <v>669</v>
      </c>
      <c r="E87" s="893">
        <v>0.2</v>
      </c>
      <c r="F87" s="880">
        <v>30</v>
      </c>
    </row>
    <row r="88" spans="1:6" s="876" customFormat="1" ht="36">
      <c r="A88" s="880">
        <v>28</v>
      </c>
      <c r="B88" s="3268"/>
      <c r="C88" s="816" t="s">
        <v>670</v>
      </c>
      <c r="D88" s="816" t="s">
        <v>671</v>
      </c>
      <c r="E88" s="893">
        <v>0.2</v>
      </c>
      <c r="F88" s="880">
        <v>30</v>
      </c>
    </row>
    <row r="89" spans="1:6" s="876" customFormat="1" ht="24">
      <c r="A89" s="880">
        <v>29</v>
      </c>
      <c r="B89" s="3268"/>
      <c r="C89" s="816" t="s">
        <v>672</v>
      </c>
      <c r="D89" s="816" t="s">
        <v>673</v>
      </c>
      <c r="E89" s="893">
        <v>0.2</v>
      </c>
      <c r="F89" s="880">
        <v>30</v>
      </c>
    </row>
    <row r="90" spans="1:6" s="876" customFormat="1" ht="24">
      <c r="A90" s="880">
        <v>30</v>
      </c>
      <c r="B90" s="3268"/>
      <c r="C90" s="816" t="s">
        <v>674</v>
      </c>
      <c r="D90" s="816" t="s">
        <v>675</v>
      </c>
      <c r="E90" s="893">
        <v>0.2</v>
      </c>
      <c r="F90" s="880">
        <v>30</v>
      </c>
    </row>
    <row r="91" spans="1:6" s="876" customFormat="1" ht="36">
      <c r="A91" s="880">
        <v>31</v>
      </c>
      <c r="B91" s="3268"/>
      <c r="C91" s="816" t="s">
        <v>676</v>
      </c>
      <c r="D91" s="816" t="s">
        <v>677</v>
      </c>
      <c r="E91" s="893">
        <v>0.2</v>
      </c>
      <c r="F91" s="880">
        <v>30</v>
      </c>
    </row>
    <row r="92" spans="1:6" s="876" customFormat="1" ht="24">
      <c r="A92" s="880">
        <v>32</v>
      </c>
      <c r="B92" s="3268" t="s">
        <v>678</v>
      </c>
      <c r="C92" s="880" t="s">
        <v>679</v>
      </c>
      <c r="D92" s="816" t="s">
        <v>680</v>
      </c>
      <c r="E92" s="893">
        <v>0.2</v>
      </c>
      <c r="F92" s="880">
        <v>30</v>
      </c>
    </row>
    <row r="93" spans="1:6" s="876" customFormat="1" ht="36">
      <c r="A93" s="880">
        <v>33</v>
      </c>
      <c r="B93" s="3268"/>
      <c r="C93" s="880" t="s">
        <v>681</v>
      </c>
      <c r="D93" s="816" t="s">
        <v>682</v>
      </c>
      <c r="E93" s="893">
        <v>0.2</v>
      </c>
      <c r="F93" s="880">
        <v>30</v>
      </c>
    </row>
    <row r="94" spans="1:6" s="876" customFormat="1" ht="48">
      <c r="A94" s="880">
        <v>34</v>
      </c>
      <c r="B94" s="3268"/>
      <c r="C94" s="880" t="s">
        <v>683</v>
      </c>
      <c r="D94" s="816" t="s">
        <v>684</v>
      </c>
      <c r="E94" s="893">
        <v>0.2</v>
      </c>
      <c r="F94" s="880">
        <v>30</v>
      </c>
    </row>
    <row r="95" spans="1:6" s="876" customFormat="1" ht="36">
      <c r="A95" s="880">
        <v>35</v>
      </c>
      <c r="B95" s="3268"/>
      <c r="C95" s="880" t="s">
        <v>685</v>
      </c>
      <c r="D95" s="816" t="s">
        <v>686</v>
      </c>
      <c r="E95" s="893">
        <v>0.2</v>
      </c>
      <c r="F95" s="880">
        <v>30</v>
      </c>
    </row>
    <row r="96" spans="1:6" s="876" customFormat="1" ht="48">
      <c r="A96" s="880">
        <v>36</v>
      </c>
      <c r="B96" s="3268"/>
      <c r="C96" s="816" t="s">
        <v>687</v>
      </c>
      <c r="D96" s="816" t="s">
        <v>688</v>
      </c>
      <c r="E96" s="893">
        <v>0.2</v>
      </c>
      <c r="F96" s="880">
        <v>30</v>
      </c>
    </row>
    <row r="97" spans="1:6" s="876" customFormat="1" ht="36">
      <c r="A97" s="880">
        <v>37</v>
      </c>
      <c r="B97" s="3268"/>
      <c r="C97" s="880" t="s">
        <v>689</v>
      </c>
      <c r="D97" s="816" t="s">
        <v>690</v>
      </c>
      <c r="E97" s="893">
        <v>0.2</v>
      </c>
      <c r="F97" s="880">
        <v>30</v>
      </c>
    </row>
    <row r="98" spans="1:6" s="876" customFormat="1" ht="36">
      <c r="A98" s="880">
        <v>38</v>
      </c>
      <c r="B98" s="3268"/>
      <c r="C98" s="880" t="s">
        <v>691</v>
      </c>
      <c r="D98" s="816" t="s">
        <v>692</v>
      </c>
      <c r="E98" s="893">
        <v>0.2</v>
      </c>
      <c r="F98" s="880">
        <v>30</v>
      </c>
    </row>
    <row r="99" spans="1:6" s="876" customFormat="1" ht="36">
      <c r="A99" s="880">
        <v>39</v>
      </c>
      <c r="B99" s="3268" t="s">
        <v>693</v>
      </c>
      <c r="C99" s="880" t="s">
        <v>694</v>
      </c>
      <c r="D99" s="816" t="s">
        <v>695</v>
      </c>
      <c r="E99" s="893">
        <v>0.3</v>
      </c>
      <c r="F99" s="880">
        <v>50</v>
      </c>
    </row>
    <row r="100" spans="1:6" s="876" customFormat="1" ht="24">
      <c r="A100" s="880">
        <v>40</v>
      </c>
      <c r="B100" s="3268"/>
      <c r="C100" s="880" t="s">
        <v>696</v>
      </c>
      <c r="D100" s="816" t="s">
        <v>697</v>
      </c>
      <c r="E100" s="893">
        <v>0.2</v>
      </c>
      <c r="F100" s="880">
        <v>30</v>
      </c>
    </row>
    <row r="101" spans="1:6" s="876" customFormat="1" ht="36">
      <c r="A101" s="880">
        <v>41</v>
      </c>
      <c r="B101" s="326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8" t="s">
        <v>708</v>
      </c>
      <c r="C105" s="880" t="s">
        <v>709</v>
      </c>
      <c r="D105" s="816" t="s">
        <v>710</v>
      </c>
      <c r="E105" s="893">
        <v>0.2</v>
      </c>
      <c r="F105" s="880">
        <v>30</v>
      </c>
    </row>
    <row r="106" spans="1:6" s="876" customFormat="1" ht="36">
      <c r="A106" s="880">
        <v>46</v>
      </c>
      <c r="B106" s="3268"/>
      <c r="C106" s="880" t="s">
        <v>711</v>
      </c>
      <c r="D106" s="816" t="s">
        <v>712</v>
      </c>
      <c r="E106" s="893">
        <v>0.2</v>
      </c>
      <c r="F106" s="880">
        <v>30</v>
      </c>
    </row>
    <row r="107" spans="1:6" s="876" customFormat="1" ht="36">
      <c r="A107" s="880">
        <v>47</v>
      </c>
      <c r="B107" s="3268" t="s">
        <v>713</v>
      </c>
      <c r="C107" s="880" t="s">
        <v>714</v>
      </c>
      <c r="D107" s="816" t="s">
        <v>715</v>
      </c>
      <c r="E107" s="893">
        <v>0.3</v>
      </c>
      <c r="F107" s="880">
        <v>50</v>
      </c>
    </row>
    <row r="108" spans="1:6" s="876" customFormat="1" ht="36">
      <c r="A108" s="880">
        <v>48</v>
      </c>
      <c r="B108" s="326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8" t="s">
        <v>724</v>
      </c>
      <c r="C111" s="880" t="s">
        <v>725</v>
      </c>
      <c r="D111" s="816" t="s">
        <v>726</v>
      </c>
      <c r="E111" s="893">
        <v>0.2</v>
      </c>
      <c r="F111" s="880">
        <v>30</v>
      </c>
    </row>
    <row r="112" spans="1:6" s="876" customFormat="1" ht="24">
      <c r="A112" s="880">
        <v>52</v>
      </c>
      <c r="B112" s="3268"/>
      <c r="C112" s="880" t="s">
        <v>727</v>
      </c>
      <c r="D112" s="816" t="s">
        <v>728</v>
      </c>
      <c r="E112" s="893">
        <v>0.2</v>
      </c>
      <c r="F112" s="880">
        <v>30</v>
      </c>
    </row>
    <row r="113" spans="1:6" s="876" customFormat="1" ht="24">
      <c r="A113" s="880">
        <v>53</v>
      </c>
      <c r="B113" s="326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8" t="s">
        <v>737</v>
      </c>
      <c r="C116" s="880" t="s">
        <v>738</v>
      </c>
      <c r="D116" s="816" t="s">
        <v>739</v>
      </c>
      <c r="E116" s="893">
        <v>0.2</v>
      </c>
      <c r="F116" s="880">
        <v>30</v>
      </c>
    </row>
    <row r="117" spans="1:6" ht="36">
      <c r="A117" s="880">
        <v>57</v>
      </c>
      <c r="B117" s="326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0.86299999999999999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3001</v>
      </c>
    </row>
    <row r="2" spans="1:5" ht="15.75">
      <c r="A2" s="2910" t="s">
        <v>2993</v>
      </c>
      <c r="B2" s="2911">
        <f ca="1">SUMIF(B6:B13,"&lt;&gt;#ref!",B6:B13)</f>
        <v>0</v>
      </c>
      <c r="C2" s="2910" t="s">
        <v>2994</v>
      </c>
      <c r="D2" s="2910" t="s">
        <v>2995</v>
      </c>
      <c r="E2" s="2911">
        <f ca="1">SUMIF(E6:E13,"&lt;&gt;#ref!",E6:E13)</f>
        <v>0</v>
      </c>
    </row>
    <row r="3" spans="1:5" ht="15.75">
      <c r="A3" s="2910" t="s">
        <v>2996</v>
      </c>
      <c r="B3" s="2911" t="e">
        <f ca="1">ROUND(B2*10000/E2,0)</f>
        <v>#DIV/0!</v>
      </c>
      <c r="C3" s="2910" t="s">
        <v>3002</v>
      </c>
      <c r="D3" s="2912"/>
      <c r="E3" s="2912"/>
    </row>
    <row r="4" spans="1:5" ht="15.75">
      <c r="A4" s="2913"/>
      <c r="B4" s="2912"/>
      <c r="C4" s="2912"/>
      <c r="D4" s="2912"/>
      <c r="E4" s="2912"/>
    </row>
    <row r="5" spans="1:5" ht="28.5">
      <c r="A5" s="2914" t="s">
        <v>2997</v>
      </c>
      <c r="B5" s="2910" t="s">
        <v>2998</v>
      </c>
      <c r="C5" s="2911"/>
      <c r="D5" s="2912"/>
      <c r="E5" s="2910" t="s">
        <v>2999</v>
      </c>
    </row>
    <row r="6" spans="1:5" ht="15.75">
      <c r="A6" s="2915" t="s">
        <v>3000</v>
      </c>
      <c r="B6" s="2911" t="e">
        <f ca="1">SUMIF(INDIRECT("'"&amp;A6&amp;"'"&amp;"!A:A"),"总价",INDIRECT("'"&amp;A6&amp;"'"&amp;"!B:B"))</f>
        <v>#REF!</v>
      </c>
      <c r="C6" s="2910" t="s">
        <v>2994</v>
      </c>
      <c r="D6" s="2912"/>
      <c r="E6" s="2575" t="e">
        <f ca="1">SUMIF(INDIRECT("'"&amp;A6&amp;"'"&amp;"!C:C"),"建筑面积",INDIRECT("'"&amp;A6&amp;"'"&amp;"!D:D"))</f>
        <v>#REF!</v>
      </c>
    </row>
    <row r="7" spans="1:5" ht="15.75">
      <c r="A7" s="2915"/>
      <c r="B7" s="2911" t="e">
        <f ca="1">SUMIF(INDIRECT("'"&amp;A7&amp;"'"&amp;"!A:A"),"总价",INDIRECT("'"&amp;A7&amp;"'"&amp;"!B:B"))</f>
        <v>#REF!</v>
      </c>
      <c r="C7" s="2910" t="s">
        <v>2994</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2994</v>
      </c>
      <c r="D8" s="2912"/>
      <c r="E8" s="2575" t="e">
        <f t="shared" ca="1" si="0"/>
        <v>#REF!</v>
      </c>
    </row>
    <row r="9" spans="1:5" ht="15.75">
      <c r="A9" s="2915"/>
      <c r="B9" s="2911" t="e">
        <f t="shared" ca="1" si="1"/>
        <v>#REF!</v>
      </c>
      <c r="C9" s="2910" t="s">
        <v>2994</v>
      </c>
      <c r="D9" s="2912"/>
      <c r="E9" s="2575" t="e">
        <f t="shared" ca="1" si="0"/>
        <v>#REF!</v>
      </c>
    </row>
    <row r="10" spans="1:5" ht="15.75">
      <c r="A10" s="2915"/>
      <c r="B10" s="2911" t="e">
        <f t="shared" ca="1" si="1"/>
        <v>#REF!</v>
      </c>
      <c r="C10" s="2910" t="s">
        <v>2994</v>
      </c>
      <c r="D10" s="2912"/>
      <c r="E10" s="2575" t="e">
        <f t="shared" ca="1" si="0"/>
        <v>#REF!</v>
      </c>
    </row>
    <row r="11" spans="1:5" ht="15.75">
      <c r="A11" s="2915"/>
      <c r="B11" s="2911" t="e">
        <f t="shared" ca="1" si="1"/>
        <v>#REF!</v>
      </c>
      <c r="C11" s="2910" t="s">
        <v>2994</v>
      </c>
      <c r="D11" s="2912"/>
      <c r="E11" s="2575" t="e">
        <f t="shared" ca="1" si="0"/>
        <v>#REF!</v>
      </c>
    </row>
    <row r="12" spans="1:5" ht="15.75">
      <c r="A12" s="2915"/>
      <c r="B12" s="2911" t="e">
        <f t="shared" ca="1" si="1"/>
        <v>#REF!</v>
      </c>
      <c r="C12" s="2910" t="s">
        <v>2994</v>
      </c>
      <c r="D12" s="2912"/>
      <c r="E12" s="2575" t="e">
        <f t="shared" ca="1" si="0"/>
        <v>#REF!</v>
      </c>
    </row>
    <row r="13" spans="1:5" ht="15.75">
      <c r="A13" s="2915"/>
      <c r="B13" s="2911" t="e">
        <f t="shared" ca="1" si="1"/>
        <v>#REF!</v>
      </c>
      <c r="C13" s="2910" t="s">
        <v>2994</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4" t="s">
        <v>1150</v>
      </c>
      <c r="C1" s="3274"/>
      <c r="D1" s="3274"/>
      <c r="E1" s="3274"/>
      <c r="F1" s="3274"/>
      <c r="G1" s="3270" t="s">
        <v>1151</v>
      </c>
      <c r="H1" s="3270"/>
      <c r="I1" s="3270"/>
      <c r="J1" s="3270"/>
      <c r="K1" s="3270"/>
      <c r="L1" s="3270"/>
      <c r="N1" s="3270" t="s">
        <v>1152</v>
      </c>
      <c r="O1" s="3270"/>
      <c r="P1" s="3270"/>
      <c r="Q1" s="3270"/>
      <c r="R1" s="1447"/>
      <c r="S1" s="3270" t="s">
        <v>1153</v>
      </c>
      <c r="T1" s="3270"/>
      <c r="U1" s="3270"/>
      <c r="V1" s="3270"/>
      <c r="X1" s="3269" t="s">
        <v>1154</v>
      </c>
      <c r="Y1" s="3270"/>
      <c r="Z1" s="3270"/>
      <c r="AA1" s="3270"/>
      <c r="AB1" s="3270"/>
      <c r="AD1" s="3269" t="s">
        <v>1155</v>
      </c>
      <c r="AE1" s="3270"/>
      <c r="AF1" s="3270"/>
      <c r="AG1" s="3270"/>
      <c r="AH1" s="3270"/>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3044</v>
      </c>
      <c r="B5" s="1792">
        <f t="shared" ref="B5:C8" si="2">B6*(1+N5)</f>
        <v>459.95733971036987</v>
      </c>
      <c r="C5" s="1792">
        <f t="shared" si="2"/>
        <v>341.22221064422405</v>
      </c>
      <c r="D5" s="1792">
        <f t="shared" ref="D5:D13" si="3">C5</f>
        <v>341.22221064422405</v>
      </c>
      <c r="E5" s="1792">
        <f t="shared" ref="E5:F8" si="4">E6*(1+P5)</f>
        <v>657.19161663724799</v>
      </c>
      <c r="F5" s="1792">
        <f t="shared" si="4"/>
        <v>300.87803644464805</v>
      </c>
      <c r="G5" s="2941">
        <v>2018</v>
      </c>
      <c r="H5" s="1731">
        <v>4</v>
      </c>
      <c r="I5" s="2924">
        <v>0</v>
      </c>
      <c r="J5" s="2924">
        <v>0</v>
      </c>
      <c r="K5" s="2924">
        <v>0</v>
      </c>
      <c r="L5" s="2924">
        <v>0</v>
      </c>
      <c r="N5" s="1468">
        <f t="shared" ref="N5:Q7" si="5">I5/100</f>
        <v>0</v>
      </c>
      <c r="O5" s="1468">
        <f t="shared" si="5"/>
        <v>0</v>
      </c>
      <c r="P5" s="1468">
        <f t="shared" si="5"/>
        <v>0</v>
      </c>
      <c r="Q5" s="1468">
        <f t="shared" si="5"/>
        <v>0</v>
      </c>
      <c r="R5" s="1733"/>
      <c r="S5" s="1734"/>
      <c r="T5" s="1733"/>
      <c r="U5" s="1733"/>
      <c r="V5" s="1733"/>
      <c r="W5" s="2928" t="s">
        <v>3037</v>
      </c>
      <c r="X5" s="1727">
        <f>ROUND(SUMPRODUCT(PRODUCT(1+N5:N$23)),4)</f>
        <v>1.4956</v>
      </c>
      <c r="Y5" s="1727">
        <f>ROUND(SUMPRODUCT(PRODUCT(1+O5:O$23)),4)</f>
        <v>1.3237000000000001</v>
      </c>
      <c r="Z5" s="1727">
        <f>Y5</f>
        <v>1.3237000000000001</v>
      </c>
      <c r="AA5" s="1727">
        <f>ROUND(SUMPRODUCT(PRODUCT(1+P5:P$23)),4)</f>
        <v>1.554</v>
      </c>
      <c r="AB5" s="1727">
        <f>ROUND(SUMPRODUCT(PRODUCT(1+Q5:Q$23)),4)</f>
        <v>1.3087</v>
      </c>
      <c r="AD5" s="1469">
        <f>ROUND(AVERAGE(I5:I$24)/100,4)</f>
        <v>2.1899999999999999E-2</v>
      </c>
      <c r="AE5" s="1469">
        <f>ROUND(AVERAGE(J5:J$24)/100,4)</f>
        <v>1.5299999999999999E-2</v>
      </c>
      <c r="AF5" s="1469">
        <f>AE5</f>
        <v>1.5299999999999999E-2</v>
      </c>
      <c r="AG5" s="1469">
        <f>ROUND(AVERAGE(K5:K$24)/100,4)</f>
        <v>2.41E-2</v>
      </c>
      <c r="AH5" s="1469">
        <f>ROUND(AVERAGE(L5:L$24)/100,4)</f>
        <v>1.4200000000000001E-2</v>
      </c>
    </row>
    <row r="6" spans="1:34" s="1467" customFormat="1" ht="13.5" thickBot="1">
      <c r="A6" s="1462" t="s">
        <v>3045</v>
      </c>
      <c r="B6" s="1478">
        <f t="shared" si="2"/>
        <v>459.95733971036987</v>
      </c>
      <c r="C6" s="1478">
        <f t="shared" si="2"/>
        <v>341.22221064422405</v>
      </c>
      <c r="D6" s="1478">
        <f t="shared" si="3"/>
        <v>341.22221064422405</v>
      </c>
      <c r="E6" s="1478">
        <f t="shared" si="4"/>
        <v>657.19161663724799</v>
      </c>
      <c r="F6" s="1478">
        <f t="shared" si="4"/>
        <v>300.87803644464805</v>
      </c>
      <c r="G6" s="2939"/>
      <c r="H6" s="1465">
        <v>3</v>
      </c>
      <c r="I6" s="1465">
        <v>1.51</v>
      </c>
      <c r="J6" s="1465">
        <v>1.41</v>
      </c>
      <c r="K6" s="1465">
        <v>1.52</v>
      </c>
      <c r="L6" s="1479">
        <v>1.74</v>
      </c>
      <c r="M6" s="1472"/>
      <c r="N6" s="1473">
        <f t="shared" si="5"/>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Y6</f>
        <v>1.3237000000000001</v>
      </c>
      <c r="AA6" s="1789">
        <f>ROUND(SUMPRODUCT(PRODUCT(1+P6:P$23)),4)</f>
        <v>1.554</v>
      </c>
      <c r="AB6" s="1789">
        <f>ROUND(SUMPRODUCT(PRODUCT(1+Q6:Q$23)),4)</f>
        <v>1.3087</v>
      </c>
      <c r="AC6" s="1791"/>
      <c r="AD6" s="1790">
        <f>ROUND(AVERAGE(I6:I$24)/100,4)</f>
        <v>2.3099999999999999E-2</v>
      </c>
      <c r="AE6" s="1790">
        <f>ROUND(AVERAGE(J6:J$24)/100,4)</f>
        <v>1.61E-2</v>
      </c>
      <c r="AF6" s="1790">
        <f>AE6</f>
        <v>1.61E-2</v>
      </c>
      <c r="AG6" s="1790">
        <f>ROUND(AVERAGE(K6:K$24)/100,4)</f>
        <v>2.53E-2</v>
      </c>
      <c r="AH6" s="1790">
        <f>ROUND(AVERAGE(L6:L$24)/100,4)</f>
        <v>1.4999999999999999E-2</v>
      </c>
    </row>
    <row r="7" spans="1:34" s="1467" customFormat="1" ht="13.5" thickBot="1">
      <c r="A7" s="1462" t="s">
        <v>3043</v>
      </c>
      <c r="B7" s="1478">
        <f t="shared" si="2"/>
        <v>453.11529869999993</v>
      </c>
      <c r="C7" s="1478">
        <f t="shared" si="2"/>
        <v>336.47787264000004</v>
      </c>
      <c r="D7" s="1478">
        <f t="shared" si="3"/>
        <v>336.47787264000004</v>
      </c>
      <c r="E7" s="1478">
        <f t="shared" si="4"/>
        <v>647.35186823999993</v>
      </c>
      <c r="F7" s="1478">
        <f t="shared" si="4"/>
        <v>295.73229452000004</v>
      </c>
      <c r="G7" s="2939"/>
      <c r="H7" s="1465">
        <v>2</v>
      </c>
      <c r="I7" s="1465">
        <v>1.49</v>
      </c>
      <c r="J7" s="1465">
        <v>0.96</v>
      </c>
      <c r="K7" s="1465">
        <v>1.58</v>
      </c>
      <c r="L7" s="1479">
        <v>2.44</v>
      </c>
      <c r="M7" s="1472"/>
      <c r="N7" s="1473">
        <f t="shared" si="5"/>
        <v>1.49E-2</v>
      </c>
      <c r="O7" s="1474">
        <f t="shared" si="5"/>
        <v>9.5999999999999992E-3</v>
      </c>
      <c r="P7" s="1474">
        <f t="shared" si="5"/>
        <v>1.5800000000000002E-2</v>
      </c>
      <c r="Q7" s="1474">
        <f t="shared" si="5"/>
        <v>2.4399999999999998E-2</v>
      </c>
      <c r="R7" s="1475"/>
      <c r="S7" s="1473"/>
      <c r="T7" s="1474"/>
      <c r="U7" s="1474"/>
      <c r="V7" s="1474"/>
      <c r="W7" s="1791"/>
      <c r="X7" s="1789">
        <f>ROUND(SUMPRODUCT(PRODUCT(1+N7:N$23)),4)</f>
        <v>1.4733000000000001</v>
      </c>
      <c r="Y7" s="1789">
        <f>ROUND(SUMPRODUCT(PRODUCT(1+O7:O$23)),4)</f>
        <v>1.3052999999999999</v>
      </c>
      <c r="Z7" s="1789">
        <f>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AE7</f>
        <v>1.6199999999999999E-2</v>
      </c>
      <c r="AG7" s="1790">
        <f>ROUND(AVERAGE(K7:K$24)/100,4)</f>
        <v>2.5899999999999999E-2</v>
      </c>
      <c r="AH7" s="1790">
        <f>ROUND(AVERAGE(L7:L$24)/100,4)</f>
        <v>1.49E-2</v>
      </c>
    </row>
    <row r="8" spans="1:34" s="1467" customFormat="1" ht="13.5" thickBot="1">
      <c r="A8" s="1462" t="s">
        <v>3035</v>
      </c>
      <c r="B8" s="1478">
        <f t="shared" si="2"/>
        <v>446.46299999999997</v>
      </c>
      <c r="C8" s="1478">
        <f t="shared" si="2"/>
        <v>333.27840000000003</v>
      </c>
      <c r="D8" s="1478">
        <f t="shared" si="3"/>
        <v>333.27840000000003</v>
      </c>
      <c r="E8" s="1478">
        <f t="shared" si="4"/>
        <v>637.28279999999995</v>
      </c>
      <c r="F8" s="1478">
        <f t="shared" si="4"/>
        <v>288.68830000000003</v>
      </c>
      <c r="G8" s="2939"/>
      <c r="H8" s="1465">
        <v>1</v>
      </c>
      <c r="I8" s="1465">
        <v>1.7</v>
      </c>
      <c r="J8" s="1465">
        <v>1.92</v>
      </c>
      <c r="K8" s="1465">
        <v>1.64</v>
      </c>
      <c r="L8" s="1479">
        <v>2.0099999999999998</v>
      </c>
      <c r="M8" s="1472"/>
      <c r="N8" s="1473">
        <f t="shared" ref="N8:N13" si="6">I8/100</f>
        <v>1.7000000000000001E-2</v>
      </c>
      <c r="O8" s="1474">
        <f t="shared" ref="O8:Q11" si="7">J8/100</f>
        <v>1.9199999999999998E-2</v>
      </c>
      <c r="P8" s="1474">
        <f t="shared" si="7"/>
        <v>1.6399999999999998E-2</v>
      </c>
      <c r="Q8" s="1474">
        <f t="shared" si="7"/>
        <v>2.0099999999999996E-2</v>
      </c>
      <c r="R8" s="1475"/>
      <c r="S8" s="1473">
        <f>B8/B9-1</f>
        <v>1.6999999999999904E-2</v>
      </c>
      <c r="T8" s="1474">
        <f>C8/C9-1</f>
        <v>1.9200000000000106E-2</v>
      </c>
      <c r="U8" s="1474">
        <f>D8/D9-1</f>
        <v>1.9200000000000106E-2</v>
      </c>
      <c r="V8" s="1474">
        <f>E8/E9-1</f>
        <v>1.639999999999997E-2</v>
      </c>
      <c r="W8" s="1791"/>
      <c r="X8" s="1789">
        <f>ROUND(SUMPRODUCT(PRODUCT(1+N8:N$23)),4)</f>
        <v>1.4517</v>
      </c>
      <c r="Y8" s="1789">
        <f>ROUND(SUMPRODUCT(PRODUCT(1+O8:O$23)),4)</f>
        <v>1.2928999999999999</v>
      </c>
      <c r="Z8" s="1789">
        <f>Y8</f>
        <v>1.2928999999999999</v>
      </c>
      <c r="AA8" s="1789">
        <f>ROUND(SUMPRODUCT(PRODUCT(1+P8:P$23)),4)</f>
        <v>1.5068999999999999</v>
      </c>
      <c r="AB8" s="1789">
        <f>ROUND(SUMPRODUCT(PRODUCT(1+Q8:Q$23)),4)</f>
        <v>1.2557</v>
      </c>
      <c r="AC8" s="1791"/>
      <c r="AD8" s="1790">
        <f>ROUND(AVERAGE(I8:I$24)/100,4)</f>
        <v>2.4E-2</v>
      </c>
      <c r="AE8" s="1790">
        <f>ROUND(AVERAGE(J8:J$24)/100,4)</f>
        <v>1.66E-2</v>
      </c>
      <c r="AF8" s="1790">
        <f>AE8</f>
        <v>1.66E-2</v>
      </c>
      <c r="AG8" s="1790">
        <f>ROUND(AVERAGE(K8:K$24)/100,4)</f>
        <v>2.6499999999999999E-2</v>
      </c>
      <c r="AH8" s="1790">
        <f>ROUND(AVERAGE(L8:L$24)/100,4)</f>
        <v>1.43E-2</v>
      </c>
    </row>
    <row r="9" spans="1:34">
      <c r="A9" s="1462" t="s">
        <v>3032</v>
      </c>
      <c r="B9" s="1470">
        <v>439</v>
      </c>
      <c r="C9" s="1470">
        <v>327</v>
      </c>
      <c r="D9" s="1470">
        <f t="shared" si="3"/>
        <v>327</v>
      </c>
      <c r="E9" s="1470">
        <v>627</v>
      </c>
      <c r="F9" s="1471">
        <v>283</v>
      </c>
      <c r="G9" s="2926">
        <v>2017</v>
      </c>
      <c r="H9" s="1463">
        <v>4</v>
      </c>
      <c r="I9" s="1463">
        <v>1.71</v>
      </c>
      <c r="J9" s="1463">
        <v>1.78</v>
      </c>
      <c r="K9" s="1463">
        <v>1.71</v>
      </c>
      <c r="L9" s="1464">
        <v>1.43</v>
      </c>
      <c r="N9" s="1473">
        <f t="shared" si="6"/>
        <v>1.7100000000000001E-2</v>
      </c>
      <c r="O9" s="1474">
        <f t="shared" si="7"/>
        <v>1.78E-2</v>
      </c>
      <c r="P9" s="1474">
        <f t="shared" si="7"/>
        <v>1.7100000000000001E-2</v>
      </c>
      <c r="Q9" s="1474">
        <f t="shared" si="7"/>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C12" si="8">B11*(1+N10)</f>
        <v>431.80730811680002</v>
      </c>
      <c r="C10" s="1478">
        <f t="shared" si="8"/>
        <v>320.57880516480003</v>
      </c>
      <c r="D10" s="1478">
        <f t="shared" si="3"/>
        <v>320.57880516480003</v>
      </c>
      <c r="E10" s="1478">
        <f t="shared" ref="E10:F12" si="9">E11*(1+P10)</f>
        <v>615.96110553196797</v>
      </c>
      <c r="F10" s="1478">
        <f t="shared" si="9"/>
        <v>279.46777300108801</v>
      </c>
      <c r="G10" s="2922"/>
      <c r="H10" s="1465">
        <v>3</v>
      </c>
      <c r="I10" s="1465">
        <v>2.98</v>
      </c>
      <c r="J10" s="1465">
        <v>2.11</v>
      </c>
      <c r="K10" s="1465">
        <v>3.24</v>
      </c>
      <c r="L10" s="1479">
        <v>1.72</v>
      </c>
      <c r="M10" s="1472"/>
      <c r="N10" s="1473">
        <f t="shared" si="6"/>
        <v>2.98E-2</v>
      </c>
      <c r="O10" s="1474">
        <f t="shared" si="7"/>
        <v>2.1099999999999997E-2</v>
      </c>
      <c r="P10" s="1474">
        <f t="shared" si="7"/>
        <v>3.2400000000000005E-2</v>
      </c>
      <c r="Q10" s="1474">
        <f t="shared" si="7"/>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8"/>
        <v>419.31181600000002</v>
      </c>
      <c r="C11" s="1478">
        <f t="shared" si="8"/>
        <v>313.95436800000004</v>
      </c>
      <c r="D11" s="1478">
        <f t="shared" si="3"/>
        <v>313.95436800000004</v>
      </c>
      <c r="E11" s="1478">
        <f t="shared" si="9"/>
        <v>596.63028431999999</v>
      </c>
      <c r="F11" s="1478">
        <f t="shared" si="9"/>
        <v>274.74220703999998</v>
      </c>
      <c r="G11" s="2921"/>
      <c r="H11" s="1466">
        <v>2</v>
      </c>
      <c r="I11" s="1466">
        <v>3.4</v>
      </c>
      <c r="J11" s="1466">
        <v>2</v>
      </c>
      <c r="K11" s="1466">
        <v>3.82</v>
      </c>
      <c r="L11" s="1480">
        <v>1.68</v>
      </c>
      <c r="M11" s="1472"/>
      <c r="N11" s="1473">
        <f t="shared" si="6"/>
        <v>3.4000000000000002E-2</v>
      </c>
      <c r="O11" s="1474">
        <f t="shared" si="7"/>
        <v>0.02</v>
      </c>
      <c r="P11" s="1474">
        <f t="shared" si="7"/>
        <v>3.8199999999999998E-2</v>
      </c>
      <c r="Q11" s="1474">
        <f t="shared" si="7"/>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 t="shared" si="8"/>
        <v>405.524</v>
      </c>
      <c r="C12" s="1478">
        <f t="shared" si="8"/>
        <v>307.79840000000002</v>
      </c>
      <c r="D12" s="1478">
        <f t="shared" si="3"/>
        <v>307.79840000000002</v>
      </c>
      <c r="E12" s="1478">
        <f t="shared" si="9"/>
        <v>574.67759999999998</v>
      </c>
      <c r="F12" s="1478">
        <f t="shared" si="9"/>
        <v>270.20280000000002</v>
      </c>
      <c r="G12" s="2922"/>
      <c r="H12" s="1465">
        <v>1</v>
      </c>
      <c r="I12" s="1465">
        <v>3.45</v>
      </c>
      <c r="J12" s="1465">
        <v>1.92</v>
      </c>
      <c r="K12" s="1465">
        <v>3.92</v>
      </c>
      <c r="L12" s="1479">
        <v>1.58</v>
      </c>
      <c r="M12" s="1472"/>
      <c r="N12" s="1473">
        <f t="shared" si="6"/>
        <v>3.4500000000000003E-2</v>
      </c>
      <c r="O12" s="1474">
        <f t="shared" ref="O12:Q27" si="10">J12/100</f>
        <v>1.9199999999999998E-2</v>
      </c>
      <c r="P12" s="1474">
        <f t="shared" si="10"/>
        <v>3.9199999999999999E-2</v>
      </c>
      <c r="Q12" s="1474">
        <f t="shared" si="10"/>
        <v>1.5800000000000002E-2</v>
      </c>
      <c r="R12" s="1475"/>
      <c r="S12" s="1473">
        <f>B12/B13-1</f>
        <v>3.4499999999999975E-2</v>
      </c>
      <c r="T12" s="1474">
        <f>C12/C13-1</f>
        <v>1.9200000000000106E-2</v>
      </c>
      <c r="U12" s="1474">
        <f>D12/D13-1</f>
        <v>1.9200000000000106E-2</v>
      </c>
      <c r="V12" s="1474">
        <f>E12/E13-1</f>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 t="shared" si="3"/>
        <v>302</v>
      </c>
      <c r="E13" s="1470">
        <v>553</v>
      </c>
      <c r="F13" s="1471">
        <v>266</v>
      </c>
      <c r="G13" s="3275">
        <v>2016</v>
      </c>
      <c r="H13" s="1463">
        <v>4</v>
      </c>
      <c r="I13" s="1463">
        <v>4.5599999999999996</v>
      </c>
      <c r="J13" s="1463">
        <v>2.15</v>
      </c>
      <c r="K13" s="1463">
        <v>5.32</v>
      </c>
      <c r="L13" s="1464">
        <v>1.57</v>
      </c>
      <c r="N13" s="1473">
        <f t="shared" si="6"/>
        <v>4.5599999999999995E-2</v>
      </c>
      <c r="O13" s="1474">
        <f t="shared" si="10"/>
        <v>2.1499999999999998E-2</v>
      </c>
      <c r="P13" s="1474">
        <f t="shared" si="10"/>
        <v>5.3200000000000004E-2</v>
      </c>
      <c r="Q13" s="1474">
        <f t="shared" si="10"/>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11">B13/(1+N13)</f>
        <v>374.90436113236416</v>
      </c>
      <c r="C14" s="1478">
        <f t="shared" si="11"/>
        <v>295.64366128242779</v>
      </c>
      <c r="D14" s="1478">
        <f t="shared" ref="D14:D73" si="12">C14</f>
        <v>295.64366128242779</v>
      </c>
      <c r="E14" s="1478">
        <f t="shared" ref="E14:F16" si="13">E13/(1+P13)</f>
        <v>525.06646410938095</v>
      </c>
      <c r="F14" s="1478">
        <f t="shared" si="13"/>
        <v>261.88835286009646</v>
      </c>
      <c r="G14" s="3272"/>
      <c r="H14" s="1465">
        <v>3</v>
      </c>
      <c r="I14" s="1465">
        <v>4.12</v>
      </c>
      <c r="J14" s="1465">
        <v>2</v>
      </c>
      <c r="K14" s="1465">
        <v>4.79</v>
      </c>
      <c r="L14" s="1479">
        <v>1.97</v>
      </c>
      <c r="N14" s="1473">
        <f t="shared" ref="N14:Q48" si="14">I14/100</f>
        <v>4.1200000000000001E-2</v>
      </c>
      <c r="O14" s="1474">
        <f t="shared" si="10"/>
        <v>0.02</v>
      </c>
      <c r="P14" s="1474">
        <f t="shared" si="10"/>
        <v>4.7899999999999998E-2</v>
      </c>
      <c r="Q14" s="1474">
        <f t="shared" si="10"/>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11"/>
        <v>360.06949782209392</v>
      </c>
      <c r="C15" s="1478">
        <f t="shared" si="11"/>
        <v>289.84672674747821</v>
      </c>
      <c r="D15" s="1478">
        <f t="shared" si="12"/>
        <v>289.84672674747821</v>
      </c>
      <c r="E15" s="1478">
        <f t="shared" si="13"/>
        <v>501.06543001181495</v>
      </c>
      <c r="F15" s="1478">
        <f t="shared" si="13"/>
        <v>256.82882500744967</v>
      </c>
      <c r="G15" s="3272"/>
      <c r="H15" s="1466">
        <v>2</v>
      </c>
      <c r="I15" s="1466">
        <v>3.85</v>
      </c>
      <c r="J15" s="1466">
        <v>1.95</v>
      </c>
      <c r="K15" s="1466">
        <v>4.4800000000000004</v>
      </c>
      <c r="L15" s="1480">
        <v>1.41</v>
      </c>
      <c r="N15" s="1473">
        <f t="shared" si="14"/>
        <v>3.85E-2</v>
      </c>
      <c r="O15" s="1474">
        <f t="shared" si="10"/>
        <v>1.95E-2</v>
      </c>
      <c r="P15" s="1474">
        <f t="shared" si="10"/>
        <v>4.4800000000000006E-2</v>
      </c>
      <c r="Q15" s="1474">
        <f t="shared" si="10"/>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11"/>
        <v>346.720748986128</v>
      </c>
      <c r="C16" s="1478">
        <f t="shared" si="11"/>
        <v>284.30282172386285</v>
      </c>
      <c r="D16" s="1478">
        <f t="shared" si="12"/>
        <v>284.30282172386285</v>
      </c>
      <c r="E16" s="1478">
        <f t="shared" si="13"/>
        <v>479.58023546306947</v>
      </c>
      <c r="F16" s="1478">
        <f t="shared" si="13"/>
        <v>253.25788877571213</v>
      </c>
      <c r="G16" s="3273"/>
      <c r="H16" s="1465">
        <v>1</v>
      </c>
      <c r="I16" s="1465">
        <v>4.09</v>
      </c>
      <c r="J16" s="1465">
        <v>2.93</v>
      </c>
      <c r="K16" s="1465">
        <v>4.54</v>
      </c>
      <c r="L16" s="1479">
        <v>1.48</v>
      </c>
      <c r="N16" s="1473">
        <f t="shared" si="14"/>
        <v>4.0899999999999999E-2</v>
      </c>
      <c r="O16" s="1474">
        <f t="shared" si="10"/>
        <v>2.9300000000000003E-2</v>
      </c>
      <c r="P16" s="1474">
        <f t="shared" si="10"/>
        <v>4.5400000000000003E-2</v>
      </c>
      <c r="Q16" s="1474">
        <f t="shared" si="10"/>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12"/>
        <v>277</v>
      </c>
      <c r="E17" s="1470">
        <v>459</v>
      </c>
      <c r="F17" s="1471">
        <v>249</v>
      </c>
      <c r="G17" s="3271">
        <v>2015</v>
      </c>
      <c r="H17" s="1483">
        <v>4</v>
      </c>
      <c r="I17" s="1483">
        <v>1.63</v>
      </c>
      <c r="J17" s="1483">
        <v>1.1100000000000001</v>
      </c>
      <c r="K17" s="1483">
        <v>1.77</v>
      </c>
      <c r="L17" s="1484">
        <v>1.89</v>
      </c>
      <c r="N17" s="1485">
        <f t="shared" si="14"/>
        <v>1.6299999999999999E-2</v>
      </c>
      <c r="O17" s="1486">
        <f t="shared" si="10"/>
        <v>1.11E-2</v>
      </c>
      <c r="P17" s="1486">
        <f t="shared" si="10"/>
        <v>1.77E-2</v>
      </c>
      <c r="Q17" s="1486">
        <f t="shared" si="10"/>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15">B17/(1+N17)</f>
        <v>327.65915576109415</v>
      </c>
      <c r="C18" s="1478">
        <f t="shared" si="15"/>
        <v>273.95905449510434</v>
      </c>
      <c r="D18" s="1478">
        <f t="shared" si="12"/>
        <v>273.95905449510434</v>
      </c>
      <c r="E18" s="1478">
        <f t="shared" ref="E18:F20" si="16">E17/(1+P17)</f>
        <v>451.01699911565294</v>
      </c>
      <c r="F18" s="1478">
        <f t="shared" si="16"/>
        <v>244.38119540681129</v>
      </c>
      <c r="G18" s="3272"/>
      <c r="H18" s="1488">
        <v>3</v>
      </c>
      <c r="I18" s="1488">
        <v>1.65</v>
      </c>
      <c r="J18" s="1488">
        <v>0.92</v>
      </c>
      <c r="K18" s="1488">
        <v>1.88</v>
      </c>
      <c r="L18" s="1489">
        <v>1.26</v>
      </c>
      <c r="N18" s="1473">
        <f t="shared" si="14"/>
        <v>1.6500000000000001E-2</v>
      </c>
      <c r="O18" s="1490">
        <f t="shared" si="10"/>
        <v>9.1999999999999998E-3</v>
      </c>
      <c r="P18" s="1490">
        <f t="shared" si="10"/>
        <v>1.8799999999999997E-2</v>
      </c>
      <c r="Q18" s="1490">
        <f t="shared" si="10"/>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15"/>
        <v>322.34053690220776</v>
      </c>
      <c r="C19" s="1478">
        <f t="shared" si="15"/>
        <v>271.46160770422546</v>
      </c>
      <c r="D19" s="1478">
        <f t="shared" si="12"/>
        <v>271.46160770422546</v>
      </c>
      <c r="E19" s="1478">
        <f t="shared" si="16"/>
        <v>442.69434542172456</v>
      </c>
      <c r="F19" s="1478">
        <f t="shared" si="16"/>
        <v>241.34030753190925</v>
      </c>
      <c r="G19" s="3272"/>
      <c r="H19" s="1466">
        <v>2</v>
      </c>
      <c r="I19" s="1466">
        <v>0.77</v>
      </c>
      <c r="J19" s="1466">
        <v>0.69</v>
      </c>
      <c r="K19" s="1466">
        <v>0.8</v>
      </c>
      <c r="L19" s="1480">
        <v>0.88</v>
      </c>
      <c r="N19" s="1473">
        <f t="shared" si="14"/>
        <v>7.7000000000000002E-3</v>
      </c>
      <c r="O19" s="1490">
        <f t="shared" si="10"/>
        <v>6.8999999999999999E-3</v>
      </c>
      <c r="P19" s="1490">
        <f t="shared" si="10"/>
        <v>8.0000000000000002E-3</v>
      </c>
      <c r="Q19" s="1490">
        <f t="shared" si="10"/>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15"/>
        <v>319.87748030386797</v>
      </c>
      <c r="C20" s="1478">
        <f t="shared" si="15"/>
        <v>269.60135833173649</v>
      </c>
      <c r="D20" s="1478">
        <f t="shared" si="12"/>
        <v>269.60135833173649</v>
      </c>
      <c r="E20" s="1478">
        <f t="shared" si="16"/>
        <v>439.18089823583784</v>
      </c>
      <c r="F20" s="1478">
        <f t="shared" si="16"/>
        <v>239.23503918706311</v>
      </c>
      <c r="G20" s="3273"/>
      <c r="H20" s="1465">
        <v>1</v>
      </c>
      <c r="I20" s="1465">
        <v>0.51</v>
      </c>
      <c r="J20" s="1465">
        <v>0.54</v>
      </c>
      <c r="K20" s="1465">
        <v>0.48</v>
      </c>
      <c r="L20" s="1479">
        <v>0.93</v>
      </c>
      <c r="N20" s="1481">
        <f t="shared" si="14"/>
        <v>5.1000000000000004E-3</v>
      </c>
      <c r="O20" s="1482">
        <f t="shared" si="10"/>
        <v>5.4000000000000003E-3</v>
      </c>
      <c r="P20" s="1482">
        <f t="shared" si="10"/>
        <v>4.7999999999999996E-3</v>
      </c>
      <c r="Q20" s="1482">
        <f t="shared" si="10"/>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12"/>
        <v>268</v>
      </c>
      <c r="E21" s="1491">
        <v>437</v>
      </c>
      <c r="F21" s="1492">
        <v>237</v>
      </c>
      <c r="G21" s="3271">
        <v>2014</v>
      </c>
      <c r="H21" s="1483">
        <v>4</v>
      </c>
      <c r="I21" s="1483">
        <v>0.21</v>
      </c>
      <c r="J21" s="1483">
        <v>0.41</v>
      </c>
      <c r="K21" s="1483">
        <v>0.12</v>
      </c>
      <c r="L21" s="1484">
        <v>0.89</v>
      </c>
      <c r="N21" s="1473">
        <f t="shared" si="14"/>
        <v>2.0999999999999999E-3</v>
      </c>
      <c r="O21" s="1474">
        <f t="shared" si="10"/>
        <v>4.0999999999999995E-3</v>
      </c>
      <c r="P21" s="1474">
        <f t="shared" si="10"/>
        <v>1.1999999999999999E-3</v>
      </c>
      <c r="Q21" s="1474">
        <f t="shared" si="10"/>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17">B21/(1+N21)</f>
        <v>317.33359944117353</v>
      </c>
      <c r="C22" s="1478">
        <f t="shared" si="17"/>
        <v>266.90568668459315</v>
      </c>
      <c r="D22" s="1478">
        <f t="shared" si="12"/>
        <v>266.90568668459315</v>
      </c>
      <c r="E22" s="1478">
        <f t="shared" ref="E22:F24" si="18">E21/(1+P21)</f>
        <v>436.47622852576905</v>
      </c>
      <c r="F22" s="1478">
        <f t="shared" si="18"/>
        <v>234.90930716622066</v>
      </c>
      <c r="G22" s="3272"/>
      <c r="H22" s="1493">
        <v>3</v>
      </c>
      <c r="I22" s="1493">
        <v>0.83</v>
      </c>
      <c r="J22" s="1493">
        <v>1.47</v>
      </c>
      <c r="K22" s="1493">
        <v>0.65</v>
      </c>
      <c r="L22" s="1494">
        <v>0.72</v>
      </c>
      <c r="N22" s="1473">
        <f t="shared" si="14"/>
        <v>8.3000000000000001E-3</v>
      </c>
      <c r="O22" s="1474">
        <f t="shared" si="10"/>
        <v>1.47E-2</v>
      </c>
      <c r="P22" s="1474">
        <f t="shared" si="10"/>
        <v>6.5000000000000006E-3</v>
      </c>
      <c r="Q22" s="1474">
        <f t="shared" si="10"/>
        <v>7.1999999999999998E-3</v>
      </c>
      <c r="R22" s="1475"/>
      <c r="S22" s="1473"/>
      <c r="T22" s="1474"/>
      <c r="U22" s="1474"/>
      <c r="V22" s="1474"/>
      <c r="X22" s="1460">
        <f>ROUND(SUMPRODUCT(PRODUCT(1+N22:N$23)),4)</f>
        <v>1.0325</v>
      </c>
      <c r="Y22" s="1460">
        <f>ROUND(SUMPRODUCT(PRODUCT(1+O22:O$23)),4)</f>
        <v>1.0353000000000001</v>
      </c>
      <c r="Z22" s="1460">
        <f>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17"/>
        <v>314.72141172386546</v>
      </c>
      <c r="C23" s="1478">
        <f t="shared" si="17"/>
        <v>263.03901319069001</v>
      </c>
      <c r="D23" s="1478">
        <f t="shared" si="12"/>
        <v>263.03901319069001</v>
      </c>
      <c r="E23" s="1478">
        <f t="shared" si="18"/>
        <v>433.65745506782821</v>
      </c>
      <c r="F23" s="1478">
        <f t="shared" si="18"/>
        <v>233.23005080045735</v>
      </c>
      <c r="G23" s="3272"/>
      <c r="H23" s="1483">
        <v>2</v>
      </c>
      <c r="I23" s="1483">
        <v>2.4</v>
      </c>
      <c r="J23" s="1483">
        <v>2.0299999999999998</v>
      </c>
      <c r="K23" s="1483">
        <v>2.59</v>
      </c>
      <c r="L23" s="1484">
        <v>1.52</v>
      </c>
      <c r="N23" s="1473">
        <f t="shared" si="14"/>
        <v>2.4E-2</v>
      </c>
      <c r="O23" s="1474">
        <f t="shared" si="10"/>
        <v>2.0299999999999999E-2</v>
      </c>
      <c r="P23" s="1474">
        <f t="shared" si="10"/>
        <v>2.5899999999999999E-2</v>
      </c>
      <c r="Q23" s="1474">
        <f t="shared" si="10"/>
        <v>1.52E-2</v>
      </c>
      <c r="R23" s="1475"/>
      <c r="S23" s="1473"/>
      <c r="T23" s="1474"/>
      <c r="U23" s="1474"/>
      <c r="V23" s="1474"/>
      <c r="X23" s="1460">
        <f>1+N23</f>
        <v>1.024</v>
      </c>
      <c r="Y23" s="1460">
        <f>1+O23</f>
        <v>1.0203</v>
      </c>
      <c r="Z23" s="1460">
        <f>Y23</f>
        <v>1.0203</v>
      </c>
      <c r="AA23" s="1460">
        <f>1+P23</f>
        <v>1.0259</v>
      </c>
      <c r="AB23" s="1460">
        <f>1+Q23</f>
        <v>1.0152000000000001</v>
      </c>
      <c r="AD23" s="1461">
        <f>ROUND(AVERAGE(I23:I$24)/100,4)</f>
        <v>2.69E-2</v>
      </c>
      <c r="AE23" s="1461">
        <f>ROUND(AVERAGE(J23:J$24)/100,4)</f>
        <v>2.1899999999999999E-2</v>
      </c>
      <c r="AF23" s="1461">
        <f>AE23</f>
        <v>2.1899999999999999E-2</v>
      </c>
      <c r="AG23" s="1461">
        <f>ROUND(AVERAGE(K23:K$24)/100,4)</f>
        <v>2.9399999999999999E-2</v>
      </c>
      <c r="AH23" s="1461">
        <f>ROUND(AVERAGE(L23:L$24)/100,4)</f>
        <v>1.44E-2</v>
      </c>
    </row>
    <row r="24" spans="1:34" s="1499" customFormat="1" ht="13.5" thickBot="1">
      <c r="A24" s="1495" t="s">
        <v>144</v>
      </c>
      <c r="B24" s="1496">
        <f t="shared" si="17"/>
        <v>307.34512863658733</v>
      </c>
      <c r="C24" s="1496">
        <f t="shared" si="17"/>
        <v>257.80556031626975</v>
      </c>
      <c r="D24" s="1496">
        <f t="shared" si="12"/>
        <v>257.80556031626975</v>
      </c>
      <c r="E24" s="1496">
        <f t="shared" si="18"/>
        <v>422.70928459677179</v>
      </c>
      <c r="F24" s="1496">
        <f t="shared" si="18"/>
        <v>229.73803270336617</v>
      </c>
      <c r="G24" s="3273"/>
      <c r="H24" s="1497">
        <v>1</v>
      </c>
      <c r="I24" s="1497">
        <v>2.97</v>
      </c>
      <c r="J24" s="1497">
        <v>2.34</v>
      </c>
      <c r="K24" s="1497">
        <v>3.28</v>
      </c>
      <c r="L24" s="1498">
        <v>1.36</v>
      </c>
      <c r="N24" s="1500">
        <f t="shared" si="14"/>
        <v>2.9700000000000001E-2</v>
      </c>
      <c r="O24" s="1501">
        <f t="shared" si="10"/>
        <v>2.3399999999999997E-2</v>
      </c>
      <c r="P24" s="1501">
        <f t="shared" si="10"/>
        <v>3.2799999999999996E-2</v>
      </c>
      <c r="Q24" s="1501">
        <f t="shared" si="10"/>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12"/>
        <v>252</v>
      </c>
      <c r="E25" s="1470">
        <v>409</v>
      </c>
      <c r="F25" s="1471">
        <v>227</v>
      </c>
      <c r="G25" s="3276">
        <v>2013</v>
      </c>
      <c r="H25" s="1507">
        <v>4</v>
      </c>
      <c r="I25" s="1507">
        <v>1.83</v>
      </c>
      <c r="J25" s="1507">
        <v>1.68</v>
      </c>
      <c r="K25" s="1507">
        <v>1.97</v>
      </c>
      <c r="L25" s="1508">
        <v>0.87</v>
      </c>
      <c r="N25" s="1485">
        <f t="shared" si="14"/>
        <v>1.83E-2</v>
      </c>
      <c r="O25" s="1486">
        <f t="shared" si="10"/>
        <v>1.6799999999999999E-2</v>
      </c>
      <c r="P25" s="1486">
        <f t="shared" si="10"/>
        <v>1.9699999999999999E-2</v>
      </c>
      <c r="Q25" s="1486">
        <f t="shared" si="10"/>
        <v>8.6999999999999994E-3</v>
      </c>
      <c r="R25" s="1475"/>
      <c r="S25" s="1476"/>
      <c r="T25" s="1477"/>
      <c r="U25" s="1477"/>
      <c r="V25" s="1477"/>
      <c r="X25" s="1477"/>
      <c r="Y25" s="1477"/>
      <c r="Z25" s="1477"/>
    </row>
    <row r="26" spans="1:34">
      <c r="A26" s="1462" t="s">
        <v>1164</v>
      </c>
      <c r="B26" s="1478">
        <f t="shared" ref="B26:C28" si="19">B25/(1+N25)</f>
        <v>293.62663262299913</v>
      </c>
      <c r="C26" s="1478">
        <f t="shared" si="19"/>
        <v>247.83634933123525</v>
      </c>
      <c r="D26" s="1478">
        <f t="shared" si="12"/>
        <v>247.83634933123525</v>
      </c>
      <c r="E26" s="1478">
        <f t="shared" ref="E26:F28" si="20">E25/(1+P25)</f>
        <v>401.09836226341076</v>
      </c>
      <c r="F26" s="1478">
        <f t="shared" si="20"/>
        <v>225.04213343908003</v>
      </c>
      <c r="G26" s="3277"/>
      <c r="H26" s="1488">
        <v>3</v>
      </c>
      <c r="I26" s="1488">
        <v>1.86</v>
      </c>
      <c r="J26" s="1488">
        <v>1.72</v>
      </c>
      <c r="K26" s="1488">
        <v>1.98</v>
      </c>
      <c r="L26" s="1489">
        <v>0.88</v>
      </c>
      <c r="N26" s="1473">
        <f t="shared" si="14"/>
        <v>1.8600000000000002E-2</v>
      </c>
      <c r="O26" s="1490">
        <f t="shared" si="10"/>
        <v>1.72E-2</v>
      </c>
      <c r="P26" s="1490">
        <f t="shared" si="10"/>
        <v>1.9799999999999998E-2</v>
      </c>
      <c r="Q26" s="1490">
        <f t="shared" si="10"/>
        <v>8.8000000000000005E-3</v>
      </c>
      <c r="R26" s="1475"/>
      <c r="S26" s="1473"/>
      <c r="T26" s="1474"/>
      <c r="U26" s="1474"/>
      <c r="V26" s="1474"/>
    </row>
    <row r="27" spans="1:34">
      <c r="A27" s="1462" t="s">
        <v>1165</v>
      </c>
      <c r="B27" s="1478">
        <f t="shared" si="19"/>
        <v>288.2649053828776</v>
      </c>
      <c r="C27" s="1478">
        <f t="shared" si="19"/>
        <v>243.64564425013293</v>
      </c>
      <c r="D27" s="1478">
        <f t="shared" si="12"/>
        <v>243.64564425013293</v>
      </c>
      <c r="E27" s="1478">
        <f t="shared" si="20"/>
        <v>393.31080825986544</v>
      </c>
      <c r="F27" s="1478">
        <f t="shared" si="20"/>
        <v>223.07903790551154</v>
      </c>
      <c r="G27" s="3277"/>
      <c r="H27" s="1466">
        <v>2</v>
      </c>
      <c r="I27" s="1466">
        <v>2.04</v>
      </c>
      <c r="J27" s="1466">
        <v>2.33</v>
      </c>
      <c r="K27" s="1466">
        <v>2.0699999999999998</v>
      </c>
      <c r="L27" s="1480">
        <v>0.69</v>
      </c>
      <c r="N27" s="1473">
        <f t="shared" si="14"/>
        <v>2.0400000000000001E-2</v>
      </c>
      <c r="O27" s="1490">
        <f t="shared" si="10"/>
        <v>2.3300000000000001E-2</v>
      </c>
      <c r="P27" s="1490">
        <f t="shared" si="10"/>
        <v>2.07E-2</v>
      </c>
      <c r="Q27" s="1490">
        <f t="shared" si="10"/>
        <v>6.8999999999999999E-3</v>
      </c>
      <c r="R27" s="1475"/>
      <c r="S27" s="1473"/>
      <c r="T27" s="1474"/>
      <c r="U27" s="1474"/>
      <c r="V27" s="1474"/>
      <c r="X27" s="1509"/>
      <c r="Y27" s="1510"/>
    </row>
    <row r="28" spans="1:34">
      <c r="A28" s="1462" t="s">
        <v>1166</v>
      </c>
      <c r="B28" s="1478">
        <f t="shared" si="19"/>
        <v>282.50186729015837</v>
      </c>
      <c r="C28" s="1478">
        <f t="shared" si="19"/>
        <v>238.09796174155468</v>
      </c>
      <c r="D28" s="1478">
        <f t="shared" si="12"/>
        <v>238.09796174155468</v>
      </c>
      <c r="E28" s="1478">
        <f t="shared" si="20"/>
        <v>385.33438646014054</v>
      </c>
      <c r="F28" s="1478">
        <f t="shared" si="20"/>
        <v>221.55034055567739</v>
      </c>
      <c r="G28" s="3278"/>
      <c r="H28" s="1465">
        <v>1</v>
      </c>
      <c r="I28" s="1465">
        <v>1.67</v>
      </c>
      <c r="J28" s="1465">
        <v>1.31</v>
      </c>
      <c r="K28" s="1465">
        <v>1.85</v>
      </c>
      <c r="L28" s="1479">
        <v>0.96</v>
      </c>
      <c r="N28" s="1481">
        <f t="shared" si="14"/>
        <v>1.67E-2</v>
      </c>
      <c r="O28" s="1482">
        <f t="shared" si="14"/>
        <v>1.3100000000000001E-2</v>
      </c>
      <c r="P28" s="1482">
        <f t="shared" si="14"/>
        <v>1.8500000000000003E-2</v>
      </c>
      <c r="Q28" s="1482">
        <f t="shared" si="14"/>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12"/>
        <v>234</v>
      </c>
      <c r="E29" s="1512">
        <v>379</v>
      </c>
      <c r="F29" s="1513">
        <v>220</v>
      </c>
      <c r="G29" s="3271">
        <v>2012</v>
      </c>
      <c r="H29" s="1483">
        <v>4</v>
      </c>
      <c r="I29" s="1483">
        <v>0.91</v>
      </c>
      <c r="J29" s="1483">
        <v>0.68</v>
      </c>
      <c r="K29" s="1483">
        <v>0.98</v>
      </c>
      <c r="L29" s="1484">
        <v>0.9</v>
      </c>
      <c r="N29" s="1473">
        <f t="shared" si="14"/>
        <v>9.1000000000000004E-3</v>
      </c>
      <c r="O29" s="1474">
        <f t="shared" si="14"/>
        <v>6.8000000000000005E-3</v>
      </c>
      <c r="P29" s="1474">
        <f t="shared" si="14"/>
        <v>9.7999999999999997E-3</v>
      </c>
      <c r="Q29" s="1474">
        <f t="shared" si="14"/>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12"/>
        <v>232.41954707985698</v>
      </c>
      <c r="E30" s="1478">
        <f t="shared" ref="E30:F32" si="21">E29/(1+P29)</f>
        <v>375.32184591008121</v>
      </c>
      <c r="F30" s="1478">
        <f t="shared" si="21"/>
        <v>218.03766105054513</v>
      </c>
      <c r="G30" s="3272"/>
      <c r="H30" s="1488">
        <v>3</v>
      </c>
      <c r="I30" s="1488">
        <v>0.09</v>
      </c>
      <c r="J30" s="1488">
        <v>0.28999999999999998</v>
      </c>
      <c r="K30" s="1488">
        <v>-0.01</v>
      </c>
      <c r="L30" s="1489">
        <v>0.57999999999999996</v>
      </c>
      <c r="N30" s="1473">
        <f t="shared" si="14"/>
        <v>8.9999999999999998E-4</v>
      </c>
      <c r="O30" s="1474">
        <f t="shared" si="14"/>
        <v>2.8999999999999998E-3</v>
      </c>
      <c r="P30" s="1474">
        <f t="shared" si="14"/>
        <v>-1E-4</v>
      </c>
      <c r="Q30" s="1474">
        <f t="shared" si="14"/>
        <v>5.7999999999999996E-3</v>
      </c>
      <c r="R30" s="1475"/>
      <c r="S30" s="1473"/>
      <c r="T30" s="1474"/>
      <c r="U30" s="1474"/>
      <c r="V30" s="1474"/>
    </row>
    <row r="31" spans="1:34">
      <c r="A31" s="1462" t="s">
        <v>1169</v>
      </c>
      <c r="B31" s="1478">
        <f>B30/(1+N30)</f>
        <v>275.24529281292263</v>
      </c>
      <c r="C31" s="1478">
        <f>C30/(1+O30)</f>
        <v>231.74747938962707</v>
      </c>
      <c r="D31" s="1478">
        <f t="shared" si="12"/>
        <v>231.74747938962707</v>
      </c>
      <c r="E31" s="1478">
        <f t="shared" si="21"/>
        <v>375.35938184826603</v>
      </c>
      <c r="F31" s="1478">
        <f t="shared" si="21"/>
        <v>216.78033510692495</v>
      </c>
      <c r="G31" s="3272"/>
      <c r="H31" s="1466">
        <v>2</v>
      </c>
      <c r="I31" s="1466">
        <v>0.02</v>
      </c>
      <c r="J31" s="1466">
        <v>0.12</v>
      </c>
      <c r="K31" s="1466">
        <v>-0.08</v>
      </c>
      <c r="L31" s="1480">
        <v>1.24</v>
      </c>
      <c r="N31" s="1473">
        <f t="shared" si="14"/>
        <v>2.0000000000000001E-4</v>
      </c>
      <c r="O31" s="1474">
        <f t="shared" si="14"/>
        <v>1.1999999999999999E-3</v>
      </c>
      <c r="P31" s="1474">
        <f t="shared" si="14"/>
        <v>-8.0000000000000004E-4</v>
      </c>
      <c r="Q31" s="1474">
        <f t="shared" si="14"/>
        <v>1.24E-2</v>
      </c>
      <c r="R31" s="1475"/>
      <c r="S31" s="1473"/>
      <c r="T31" s="1474"/>
      <c r="U31" s="1474"/>
      <c r="V31" s="1474"/>
    </row>
    <row r="32" spans="1:34" ht="13.5" thickBot="1">
      <c r="A32" s="1462" t="s">
        <v>1170</v>
      </c>
      <c r="B32" s="1478">
        <f>B31/(1+N31)</f>
        <v>275.19025476197027</v>
      </c>
      <c r="C32" s="1514">
        <v>232</v>
      </c>
      <c r="D32" s="1514">
        <f t="shared" si="12"/>
        <v>232</v>
      </c>
      <c r="E32" s="1478">
        <f t="shared" si="21"/>
        <v>375.65990977608692</v>
      </c>
      <c r="F32" s="1478">
        <f t="shared" si="21"/>
        <v>214.12518283971252</v>
      </c>
      <c r="G32" s="3273"/>
      <c r="H32" s="1465">
        <v>1</v>
      </c>
      <c r="I32" s="1465">
        <v>0.02</v>
      </c>
      <c r="J32" s="1465">
        <v>0.13</v>
      </c>
      <c r="K32" s="1465">
        <v>-0.04</v>
      </c>
      <c r="L32" s="1479">
        <v>0.46</v>
      </c>
      <c r="N32" s="1473">
        <f t="shared" si="14"/>
        <v>2.0000000000000001E-4</v>
      </c>
      <c r="O32" s="1474">
        <f t="shared" si="14"/>
        <v>1.2999999999999999E-3</v>
      </c>
      <c r="P32" s="1474">
        <f t="shared" si="14"/>
        <v>-4.0000000000000002E-4</v>
      </c>
      <c r="Q32" s="1474">
        <f t="shared" si="14"/>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12"/>
        <v>232</v>
      </c>
      <c r="E33" s="1470">
        <v>376</v>
      </c>
      <c r="F33" s="1471">
        <v>213</v>
      </c>
      <c r="G33" s="3271">
        <v>2011</v>
      </c>
      <c r="H33" s="1483">
        <v>4</v>
      </c>
      <c r="I33" s="1483">
        <v>-0.2</v>
      </c>
      <c r="J33" s="1483">
        <v>0.04</v>
      </c>
      <c r="K33" s="1483">
        <v>-0.34</v>
      </c>
      <c r="L33" s="1484">
        <v>0.46</v>
      </c>
      <c r="N33" s="1485">
        <f t="shared" si="14"/>
        <v>-2E-3</v>
      </c>
      <c r="O33" s="1486">
        <f t="shared" si="14"/>
        <v>4.0000000000000002E-4</v>
      </c>
      <c r="P33" s="1486">
        <f t="shared" si="14"/>
        <v>-3.4000000000000002E-3</v>
      </c>
      <c r="Q33" s="1486">
        <f t="shared" si="14"/>
        <v>4.5999999999999999E-3</v>
      </c>
      <c r="R33" s="1475"/>
      <c r="S33" s="1476"/>
      <c r="T33" s="1477"/>
      <c r="U33" s="1477"/>
      <c r="V33" s="1477"/>
      <c r="X33" s="1477"/>
      <c r="Y33" s="1477"/>
      <c r="Z33" s="1477"/>
    </row>
    <row r="34" spans="1:26">
      <c r="A34" s="1462" t="s">
        <v>1172</v>
      </c>
      <c r="B34" s="1478">
        <f t="shared" ref="B34:C36" si="22">B33/(1+N33)</f>
        <v>275.55110220440883</v>
      </c>
      <c r="C34" s="1478">
        <f t="shared" si="22"/>
        <v>231.90723710515795</v>
      </c>
      <c r="D34" s="1478">
        <f t="shared" si="12"/>
        <v>231.90723710515795</v>
      </c>
      <c r="E34" s="1478">
        <f t="shared" ref="E34:F36" si="23">E33/(1+P33)</f>
        <v>377.28276138872161</v>
      </c>
      <c r="F34" s="1478">
        <f t="shared" si="23"/>
        <v>212.02468644236512</v>
      </c>
      <c r="G34" s="3272">
        <v>2011</v>
      </c>
      <c r="H34" s="1488">
        <v>3</v>
      </c>
      <c r="I34" s="1488">
        <v>0.13</v>
      </c>
      <c r="J34" s="1488">
        <v>0.75</v>
      </c>
      <c r="K34" s="1488">
        <v>-0.08</v>
      </c>
      <c r="L34" s="1489">
        <v>0.53</v>
      </c>
      <c r="N34" s="1473">
        <f t="shared" si="14"/>
        <v>1.2999999999999999E-3</v>
      </c>
      <c r="O34" s="1490">
        <f t="shared" si="14"/>
        <v>7.4999999999999997E-3</v>
      </c>
      <c r="P34" s="1490">
        <f t="shared" si="14"/>
        <v>-8.0000000000000004E-4</v>
      </c>
      <c r="Q34" s="1490">
        <f t="shared" si="14"/>
        <v>5.3E-3</v>
      </c>
      <c r="R34" s="1475"/>
      <c r="S34" s="1473"/>
      <c r="T34" s="1474"/>
      <c r="U34" s="1474"/>
      <c r="V34" s="1474"/>
    </row>
    <row r="35" spans="1:26">
      <c r="A35" s="1462" t="s">
        <v>1173</v>
      </c>
      <c r="B35" s="1478">
        <f t="shared" si="22"/>
        <v>275.19335084830601</v>
      </c>
      <c r="C35" s="1478">
        <f t="shared" si="22"/>
        <v>230.18088050139744</v>
      </c>
      <c r="D35" s="1478">
        <f t="shared" si="12"/>
        <v>230.18088050139744</v>
      </c>
      <c r="E35" s="1478">
        <f t="shared" si="23"/>
        <v>377.58482925212331</v>
      </c>
      <c r="F35" s="1478">
        <f t="shared" si="23"/>
        <v>210.90687997847917</v>
      </c>
      <c r="G35" s="3272">
        <v>2011</v>
      </c>
      <c r="H35" s="1466">
        <v>2</v>
      </c>
      <c r="I35" s="1466">
        <v>-0.4</v>
      </c>
      <c r="J35" s="1466">
        <v>0.17</v>
      </c>
      <c r="K35" s="1466">
        <v>-0.57999999999999996</v>
      </c>
      <c r="L35" s="1480">
        <v>-0.2</v>
      </c>
      <c r="N35" s="1473">
        <f t="shared" si="14"/>
        <v>-4.0000000000000001E-3</v>
      </c>
      <c r="O35" s="1490">
        <f t="shared" si="14"/>
        <v>1.7000000000000001E-3</v>
      </c>
      <c r="P35" s="1490">
        <f t="shared" si="14"/>
        <v>-5.7999999999999996E-3</v>
      </c>
      <c r="Q35" s="1490">
        <f t="shared" si="14"/>
        <v>-2E-3</v>
      </c>
      <c r="R35" s="1475"/>
      <c r="S35" s="1473"/>
      <c r="T35" s="1474"/>
      <c r="U35" s="1474"/>
      <c r="V35" s="1474"/>
    </row>
    <row r="36" spans="1:26" ht="13.5" thickBot="1">
      <c r="A36" s="1462" t="s">
        <v>1174</v>
      </c>
      <c r="B36" s="1478">
        <f t="shared" si="22"/>
        <v>276.29854502841971</v>
      </c>
      <c r="C36" s="1478">
        <f t="shared" si="22"/>
        <v>229.79023709833027</v>
      </c>
      <c r="D36" s="1478">
        <f t="shared" si="12"/>
        <v>229.79023709833027</v>
      </c>
      <c r="E36" s="1478">
        <f t="shared" si="23"/>
        <v>379.78759731655936</v>
      </c>
      <c r="F36" s="1478">
        <f t="shared" si="23"/>
        <v>211.32953905659235</v>
      </c>
      <c r="G36" s="3273">
        <v>2011</v>
      </c>
      <c r="H36" s="1465">
        <v>1</v>
      </c>
      <c r="I36" s="1465">
        <v>2.65</v>
      </c>
      <c r="J36" s="1465">
        <v>3.76</v>
      </c>
      <c r="K36" s="1465">
        <v>1.89</v>
      </c>
      <c r="L36" s="1479">
        <v>7.95</v>
      </c>
      <c r="N36" s="1481">
        <f t="shared" si="14"/>
        <v>2.6499999999999999E-2</v>
      </c>
      <c r="O36" s="1482">
        <f t="shared" si="14"/>
        <v>3.7599999999999995E-2</v>
      </c>
      <c r="P36" s="1482">
        <f t="shared" si="14"/>
        <v>1.89E-2</v>
      </c>
      <c r="Q36" s="1482">
        <f t="shared" si="14"/>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12"/>
        <v>221</v>
      </c>
      <c r="E37" s="1470">
        <v>373</v>
      </c>
      <c r="F37" s="1471">
        <v>196</v>
      </c>
      <c r="G37" s="3271">
        <v>2010</v>
      </c>
      <c r="H37" s="1483">
        <v>4</v>
      </c>
      <c r="I37" s="1483">
        <v>5.72</v>
      </c>
      <c r="J37" s="1483">
        <v>6.57</v>
      </c>
      <c r="K37" s="1483">
        <v>5.72</v>
      </c>
      <c r="L37" s="1484">
        <v>2.72</v>
      </c>
      <c r="N37" s="1473">
        <f t="shared" si="14"/>
        <v>5.7200000000000001E-2</v>
      </c>
      <c r="O37" s="1474">
        <f t="shared" si="14"/>
        <v>6.5700000000000008E-2</v>
      </c>
      <c r="P37" s="1474">
        <f t="shared" si="14"/>
        <v>5.7200000000000001E-2</v>
      </c>
      <c r="Q37" s="1474">
        <f t="shared" si="14"/>
        <v>2.7200000000000002E-2</v>
      </c>
      <c r="R37" s="1475"/>
      <c r="S37" s="1476"/>
      <c r="T37" s="1477"/>
      <c r="U37" s="1477"/>
      <c r="V37" s="1477"/>
      <c r="X37" s="1477"/>
      <c r="Y37" s="1477"/>
      <c r="Z37" s="1477"/>
    </row>
    <row r="38" spans="1:26">
      <c r="A38" s="1462" t="s">
        <v>1176</v>
      </c>
      <c r="B38" s="1478">
        <f t="shared" ref="B38:C40" si="24">B37/(1+N37)</f>
        <v>254.44570563753314</v>
      </c>
      <c r="C38" s="1478">
        <f t="shared" si="24"/>
        <v>207.37543398705074</v>
      </c>
      <c r="D38" s="1478">
        <f t="shared" si="12"/>
        <v>207.37543398705074</v>
      </c>
      <c r="E38" s="1478">
        <f t="shared" ref="E38:F40" si="25">E37/(1+P37)</f>
        <v>352.81876655315932</v>
      </c>
      <c r="F38" s="1478">
        <f t="shared" si="25"/>
        <v>190.809968847352</v>
      </c>
      <c r="G38" s="3272">
        <v>2010</v>
      </c>
      <c r="H38" s="1488">
        <v>3</v>
      </c>
      <c r="I38" s="1488">
        <v>4.7300000000000004</v>
      </c>
      <c r="J38" s="1488">
        <v>3.9</v>
      </c>
      <c r="K38" s="1488">
        <v>5.03</v>
      </c>
      <c r="L38" s="1489">
        <v>4.21</v>
      </c>
      <c r="N38" s="1473">
        <f t="shared" si="14"/>
        <v>4.7300000000000002E-2</v>
      </c>
      <c r="O38" s="1474">
        <f t="shared" si="14"/>
        <v>3.9E-2</v>
      </c>
      <c r="P38" s="1474">
        <f t="shared" si="14"/>
        <v>5.0300000000000004E-2</v>
      </c>
      <c r="Q38" s="1474">
        <f t="shared" si="14"/>
        <v>4.2099999999999999E-2</v>
      </c>
      <c r="R38" s="1475"/>
      <c r="S38" s="1473"/>
      <c r="T38" s="1474"/>
      <c r="U38" s="1474"/>
      <c r="V38" s="1474"/>
    </row>
    <row r="39" spans="1:26">
      <c r="A39" s="1462" t="s">
        <v>1177</v>
      </c>
      <c r="B39" s="1478">
        <f t="shared" si="24"/>
        <v>242.95398227588385</v>
      </c>
      <c r="C39" s="1478">
        <f t="shared" si="24"/>
        <v>199.59137053614126</v>
      </c>
      <c r="D39" s="1478">
        <f t="shared" si="12"/>
        <v>199.59137053614126</v>
      </c>
      <c r="E39" s="1478">
        <f t="shared" si="25"/>
        <v>335.92189522342125</v>
      </c>
      <c r="F39" s="1478">
        <f t="shared" si="25"/>
        <v>183.10139991109489</v>
      </c>
      <c r="G39" s="3272">
        <v>2010</v>
      </c>
      <c r="H39" s="1466">
        <v>2</v>
      </c>
      <c r="I39" s="1466">
        <v>4.6900000000000004</v>
      </c>
      <c r="J39" s="1466">
        <v>3.55</v>
      </c>
      <c r="K39" s="1466">
        <v>5.07</v>
      </c>
      <c r="L39" s="1480">
        <v>4.2300000000000004</v>
      </c>
      <c r="N39" s="1473">
        <f t="shared" si="14"/>
        <v>4.6900000000000004E-2</v>
      </c>
      <c r="O39" s="1474">
        <f t="shared" si="14"/>
        <v>3.5499999999999997E-2</v>
      </c>
      <c r="P39" s="1474">
        <f t="shared" si="14"/>
        <v>5.0700000000000002E-2</v>
      </c>
      <c r="Q39" s="1474">
        <f t="shared" si="14"/>
        <v>4.2300000000000004E-2</v>
      </c>
      <c r="R39" s="1475"/>
      <c r="S39" s="1473"/>
      <c r="T39" s="1474"/>
      <c r="U39" s="1474"/>
      <c r="V39" s="1474"/>
    </row>
    <row r="40" spans="1:26" ht="13.5" thickBot="1">
      <c r="A40" s="1462" t="s">
        <v>1178</v>
      </c>
      <c r="B40" s="1478">
        <f t="shared" si="24"/>
        <v>232.06990378821649</v>
      </c>
      <c r="C40" s="1478">
        <f t="shared" si="24"/>
        <v>192.74878854286936</v>
      </c>
      <c r="D40" s="1478">
        <f t="shared" si="12"/>
        <v>192.74878854286936</v>
      </c>
      <c r="E40" s="1478">
        <f t="shared" si="25"/>
        <v>319.71247284992984</v>
      </c>
      <c r="F40" s="1478">
        <f t="shared" si="25"/>
        <v>175.67053622862409</v>
      </c>
      <c r="G40" s="3273">
        <v>2010</v>
      </c>
      <c r="H40" s="1465">
        <v>1</v>
      </c>
      <c r="I40" s="1465">
        <v>5.4</v>
      </c>
      <c r="J40" s="1465">
        <v>3.2</v>
      </c>
      <c r="K40" s="1465">
        <v>6.16</v>
      </c>
      <c r="L40" s="1479">
        <v>4.51</v>
      </c>
      <c r="N40" s="1473">
        <f t="shared" si="14"/>
        <v>5.4000000000000006E-2</v>
      </c>
      <c r="O40" s="1474">
        <f t="shared" si="14"/>
        <v>3.2000000000000001E-2</v>
      </c>
      <c r="P40" s="1474">
        <f t="shared" si="14"/>
        <v>6.1600000000000002E-2</v>
      </c>
      <c r="Q40" s="1474">
        <f t="shared" si="14"/>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12"/>
        <v>187</v>
      </c>
      <c r="E41" s="1470">
        <v>301</v>
      </c>
      <c r="F41" s="1471">
        <v>168</v>
      </c>
      <c r="G41" s="3271">
        <v>2009</v>
      </c>
      <c r="H41" s="1483">
        <v>4</v>
      </c>
      <c r="I41" s="1483">
        <v>2.2999999999999998</v>
      </c>
      <c r="J41" s="1483">
        <v>1.04</v>
      </c>
      <c r="K41" s="1483">
        <v>2.84</v>
      </c>
      <c r="L41" s="1484">
        <v>0.67</v>
      </c>
      <c r="N41" s="1485">
        <f t="shared" si="14"/>
        <v>2.3E-2</v>
      </c>
      <c r="O41" s="1486">
        <f t="shared" si="14"/>
        <v>1.04E-2</v>
      </c>
      <c r="P41" s="1486">
        <f t="shared" si="14"/>
        <v>2.8399999999999998E-2</v>
      </c>
      <c r="Q41" s="1486">
        <f t="shared" si="14"/>
        <v>6.7000000000000002E-3</v>
      </c>
      <c r="R41" s="1475"/>
      <c r="S41" s="1476"/>
      <c r="T41" s="1477"/>
      <c r="U41" s="1477"/>
      <c r="V41" s="1477"/>
      <c r="X41" s="1477"/>
      <c r="Y41" s="1477"/>
      <c r="Z41" s="1477"/>
    </row>
    <row r="42" spans="1:26">
      <c r="A42" s="1462" t="s">
        <v>1180</v>
      </c>
      <c r="B42" s="1478">
        <f t="shared" ref="B42:C44" si="26">B41/(1+N41)</f>
        <v>215.05376344086022</v>
      </c>
      <c r="C42" s="1478">
        <f t="shared" si="26"/>
        <v>185.0752177355503</v>
      </c>
      <c r="D42" s="1478">
        <f t="shared" si="12"/>
        <v>185.0752177355503</v>
      </c>
      <c r="E42" s="1478">
        <f t="shared" ref="E42:F44" si="27">E41/(1+P41)</f>
        <v>292.68767016725008</v>
      </c>
      <c r="F42" s="1478">
        <f t="shared" si="27"/>
        <v>166.88189132810174</v>
      </c>
      <c r="G42" s="3272">
        <v>2009</v>
      </c>
      <c r="H42" s="1488">
        <v>3</v>
      </c>
      <c r="I42" s="1488">
        <v>2.1</v>
      </c>
      <c r="J42" s="1488">
        <v>1.86</v>
      </c>
      <c r="K42" s="1488">
        <v>2.29</v>
      </c>
      <c r="L42" s="1489">
        <v>0.85</v>
      </c>
      <c r="N42" s="1473">
        <f t="shared" si="14"/>
        <v>2.1000000000000001E-2</v>
      </c>
      <c r="O42" s="1490">
        <f t="shared" si="14"/>
        <v>1.8600000000000002E-2</v>
      </c>
      <c r="P42" s="1490">
        <f t="shared" si="14"/>
        <v>2.29E-2</v>
      </c>
      <c r="Q42" s="1490">
        <f t="shared" si="14"/>
        <v>8.5000000000000006E-3</v>
      </c>
      <c r="R42" s="1475"/>
      <c r="S42" s="1473"/>
      <c r="T42" s="1474"/>
      <c r="U42" s="1474"/>
      <c r="V42" s="1474"/>
    </row>
    <row r="43" spans="1:26">
      <c r="A43" s="1462" t="s">
        <v>1181</v>
      </c>
      <c r="B43" s="1478">
        <f t="shared" si="26"/>
        <v>210.630522469011</v>
      </c>
      <c r="C43" s="1478">
        <f t="shared" si="26"/>
        <v>181.69567812247232</v>
      </c>
      <c r="D43" s="1478">
        <f t="shared" si="12"/>
        <v>181.69567812247232</v>
      </c>
      <c r="E43" s="1478">
        <f t="shared" si="27"/>
        <v>286.13517466736738</v>
      </c>
      <c r="F43" s="1478">
        <f t="shared" si="27"/>
        <v>165.47535084591149</v>
      </c>
      <c r="G43" s="3272">
        <v>2009</v>
      </c>
      <c r="H43" s="1466">
        <v>2</v>
      </c>
      <c r="I43" s="1466">
        <v>0.86</v>
      </c>
      <c r="J43" s="1466">
        <v>-1.1299999999999999</v>
      </c>
      <c r="K43" s="1466">
        <v>1.79</v>
      </c>
      <c r="L43" s="1480">
        <v>-2.0699999999999998</v>
      </c>
      <c r="N43" s="1473">
        <f t="shared" si="14"/>
        <v>8.6E-3</v>
      </c>
      <c r="O43" s="1490">
        <f t="shared" si="14"/>
        <v>-1.1299999999999999E-2</v>
      </c>
      <c r="P43" s="1490">
        <f t="shared" si="14"/>
        <v>1.7899999999999999E-2</v>
      </c>
      <c r="Q43" s="1490">
        <f t="shared" si="14"/>
        <v>-2.07E-2</v>
      </c>
      <c r="R43" s="1475"/>
      <c r="S43" s="1473"/>
      <c r="T43" s="1474"/>
      <c r="U43" s="1474"/>
      <c r="V43" s="1474"/>
    </row>
    <row r="44" spans="1:26">
      <c r="A44" s="1462" t="s">
        <v>1182</v>
      </c>
      <c r="B44" s="1478">
        <f t="shared" si="26"/>
        <v>208.83454537875372</v>
      </c>
      <c r="C44" s="1478">
        <f t="shared" si="26"/>
        <v>183.77230517090351</v>
      </c>
      <c r="D44" s="1478">
        <f t="shared" si="12"/>
        <v>183.77230517090351</v>
      </c>
      <c r="E44" s="1478">
        <f t="shared" si="27"/>
        <v>281.10342338870947</v>
      </c>
      <c r="F44" s="1478">
        <f t="shared" si="27"/>
        <v>168.97309388942256</v>
      </c>
      <c r="G44" s="3273">
        <v>2009</v>
      </c>
      <c r="H44" s="1465">
        <v>1</v>
      </c>
      <c r="I44" s="1465">
        <v>-2.64</v>
      </c>
      <c r="J44" s="1465">
        <v>-2.5299999999999998</v>
      </c>
      <c r="K44" s="1465">
        <v>-3.02</v>
      </c>
      <c r="L44" s="1479">
        <v>1.52</v>
      </c>
      <c r="N44" s="1481">
        <f t="shared" si="14"/>
        <v>-2.64E-2</v>
      </c>
      <c r="O44" s="1482">
        <f t="shared" si="14"/>
        <v>-2.53E-2</v>
      </c>
      <c r="P44" s="1482">
        <f t="shared" si="14"/>
        <v>-3.0200000000000001E-2</v>
      </c>
      <c r="Q44" s="1482">
        <f t="shared" si="14"/>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12"/>
        <v>188</v>
      </c>
      <c r="E45" s="1512">
        <v>289</v>
      </c>
      <c r="F45" s="1513">
        <v>166</v>
      </c>
      <c r="G45" s="3271">
        <v>2008</v>
      </c>
      <c r="H45" s="1483">
        <v>4</v>
      </c>
      <c r="I45" s="1483">
        <v>1.73</v>
      </c>
      <c r="J45" s="1483">
        <v>0.03</v>
      </c>
      <c r="K45" s="1483">
        <v>2.59</v>
      </c>
      <c r="L45" s="1484">
        <v>-1.66</v>
      </c>
      <c r="N45" s="1473">
        <f t="shared" si="14"/>
        <v>1.7299999999999999E-2</v>
      </c>
      <c r="O45" s="1474">
        <f t="shared" si="14"/>
        <v>2.9999999999999997E-4</v>
      </c>
      <c r="P45" s="1474">
        <f t="shared" si="14"/>
        <v>2.5899999999999999E-2</v>
      </c>
      <c r="Q45" s="1474">
        <f t="shared" si="14"/>
        <v>-1.66E-2</v>
      </c>
      <c r="R45" s="1475"/>
      <c r="S45" s="1476"/>
      <c r="T45" s="1477"/>
      <c r="U45" s="1477"/>
      <c r="V45" s="1477"/>
      <c r="X45" s="1477"/>
      <c r="Y45" s="1477"/>
      <c r="Z45" s="1477"/>
    </row>
    <row r="46" spans="1:26">
      <c r="A46" s="1462" t="s">
        <v>1184</v>
      </c>
      <c r="B46" s="1478">
        <f t="shared" ref="B46:C48" si="28">B45/(1+N45)</f>
        <v>210.36075887152265</v>
      </c>
      <c r="C46" s="1478">
        <f t="shared" si="28"/>
        <v>187.94361691492554</v>
      </c>
      <c r="D46" s="1478">
        <f t="shared" si="12"/>
        <v>187.94361691492554</v>
      </c>
      <c r="E46" s="1478">
        <f t="shared" ref="E46:F48" si="29">E45/(1+P45)</f>
        <v>281.70386977288234</v>
      </c>
      <c r="F46" s="1478">
        <f t="shared" si="29"/>
        <v>168.80211511083994</v>
      </c>
      <c r="G46" s="3272">
        <v>2008</v>
      </c>
      <c r="H46" s="1488">
        <v>3</v>
      </c>
      <c r="I46" s="1488">
        <v>1.96</v>
      </c>
      <c r="J46" s="1488">
        <v>2.36</v>
      </c>
      <c r="K46" s="1488">
        <v>1.82</v>
      </c>
      <c r="L46" s="1489">
        <v>2.2200000000000002</v>
      </c>
      <c r="N46" s="1473">
        <f t="shared" si="14"/>
        <v>1.9599999999999999E-2</v>
      </c>
      <c r="O46" s="1474">
        <f t="shared" si="14"/>
        <v>2.3599999999999999E-2</v>
      </c>
      <c r="P46" s="1474">
        <f t="shared" si="14"/>
        <v>1.8200000000000001E-2</v>
      </c>
      <c r="Q46" s="1474">
        <f t="shared" si="14"/>
        <v>2.2200000000000001E-2</v>
      </c>
      <c r="R46" s="1475"/>
      <c r="S46" s="1473"/>
      <c r="T46" s="1474"/>
      <c r="U46" s="1474"/>
      <c r="V46" s="1474"/>
    </row>
    <row r="47" spans="1:26">
      <c r="A47" s="1462" t="s">
        <v>1185</v>
      </c>
      <c r="B47" s="1478">
        <f t="shared" si="28"/>
        <v>206.31694671589116</v>
      </c>
      <c r="C47" s="1478">
        <f t="shared" si="28"/>
        <v>183.61041121036101</v>
      </c>
      <c r="D47" s="1478">
        <f t="shared" si="12"/>
        <v>183.61041121036101</v>
      </c>
      <c r="E47" s="1478">
        <f t="shared" si="29"/>
        <v>276.66850301795557</v>
      </c>
      <c r="F47" s="1478">
        <f t="shared" si="29"/>
        <v>165.1360938278614</v>
      </c>
      <c r="G47" s="3272">
        <v>2008</v>
      </c>
      <c r="H47" s="1466">
        <v>2</v>
      </c>
      <c r="I47" s="1466">
        <v>4.93</v>
      </c>
      <c r="J47" s="1466">
        <v>7.38</v>
      </c>
      <c r="K47" s="1466">
        <v>3.98</v>
      </c>
      <c r="L47" s="1480">
        <v>6.86</v>
      </c>
      <c r="N47" s="1473">
        <f t="shared" si="14"/>
        <v>4.9299999999999997E-2</v>
      </c>
      <c r="O47" s="1474">
        <f t="shared" si="14"/>
        <v>7.3800000000000004E-2</v>
      </c>
      <c r="P47" s="1474">
        <f t="shared" si="14"/>
        <v>3.9800000000000002E-2</v>
      </c>
      <c r="Q47" s="1474">
        <f t="shared" si="14"/>
        <v>6.8600000000000008E-2</v>
      </c>
      <c r="R47" s="1475"/>
      <c r="S47" s="1473"/>
      <c r="T47" s="1474"/>
      <c r="U47" s="1474"/>
      <c r="V47" s="1474"/>
    </row>
    <row r="48" spans="1:26" s="1518" customFormat="1" ht="13.5" thickBot="1">
      <c r="A48" s="1462" t="s">
        <v>1186</v>
      </c>
      <c r="B48" s="1515">
        <f t="shared" si="28"/>
        <v>196.62341248059772</v>
      </c>
      <c r="C48" s="1515">
        <f t="shared" si="28"/>
        <v>170.99125648199012</v>
      </c>
      <c r="D48" s="1515">
        <f t="shared" si="12"/>
        <v>170.99125648199012</v>
      </c>
      <c r="E48" s="1515">
        <f t="shared" si="29"/>
        <v>266.07857570490052</v>
      </c>
      <c r="F48" s="1515">
        <f t="shared" si="29"/>
        <v>154.53499328828505</v>
      </c>
      <c r="G48" s="3273">
        <v>2008</v>
      </c>
      <c r="H48" s="1516">
        <v>1</v>
      </c>
      <c r="I48" s="1516">
        <v>4.1399999999999997</v>
      </c>
      <c r="J48" s="1516">
        <v>3.45</v>
      </c>
      <c r="K48" s="1516">
        <v>4.95</v>
      </c>
      <c r="L48" s="1517">
        <v>4.82</v>
      </c>
      <c r="N48" s="1519">
        <f t="shared" si="14"/>
        <v>4.1399999999999999E-2</v>
      </c>
      <c r="O48" s="1520">
        <f t="shared" si="14"/>
        <v>3.4500000000000003E-2</v>
      </c>
      <c r="P48" s="1520">
        <f t="shared" si="14"/>
        <v>4.9500000000000002E-2</v>
      </c>
      <c r="Q48" s="1520">
        <f t="shared" si="14"/>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12"/>
        <v>165</v>
      </c>
      <c r="E49" s="1470">
        <v>254</v>
      </c>
      <c r="F49" s="1471">
        <v>148</v>
      </c>
      <c r="G49" s="3271">
        <v>2007</v>
      </c>
      <c r="H49" s="1523">
        <v>4</v>
      </c>
      <c r="I49" s="1523">
        <v>5.51</v>
      </c>
      <c r="J49" s="1523">
        <v>4.8899999999999997</v>
      </c>
      <c r="K49" s="1523">
        <v>6.43</v>
      </c>
      <c r="L49" s="1524">
        <v>5.36</v>
      </c>
      <c r="N49" s="1525">
        <f t="shared" ref="N49:O52" si="30">B49/B50-1</f>
        <v>4.1339718365245526E-2</v>
      </c>
      <c r="O49" s="1526">
        <f t="shared" si="30"/>
        <v>4.0324492593776018E-2</v>
      </c>
      <c r="P49" s="1526">
        <f t="shared" ref="P49:Q52" si="31">E49/E50-1</f>
        <v>6.1625555347990968E-2</v>
      </c>
      <c r="Q49" s="1526">
        <f t="shared" si="31"/>
        <v>4.6757569250590603E-2</v>
      </c>
      <c r="R49" s="1475"/>
      <c r="S49" s="1476"/>
      <c r="T49" s="1477"/>
      <c r="U49" s="1477"/>
      <c r="V49" s="1477"/>
      <c r="X49" s="1477"/>
      <c r="Y49" s="1477"/>
      <c r="Z49" s="1477"/>
    </row>
    <row r="50" spans="1:26">
      <c r="A50" s="1462" t="s">
        <v>1188</v>
      </c>
      <c r="B50" s="1478">
        <f t="shared" ref="B50:C52" si="32">B51+(B$49-B$53)*I50/SUM(I$49:I$52)</f>
        <v>180.5366651097618</v>
      </c>
      <c r="C50" s="1478">
        <f t="shared" si="32"/>
        <v>158.60435967302453</v>
      </c>
      <c r="D50" s="1478">
        <f t="shared" si="12"/>
        <v>158.60435967302453</v>
      </c>
      <c r="E50" s="1478">
        <f t="shared" ref="E50:F52" si="33">E51+(E$49-E$53)*K50/SUM(K$49:K$52)</f>
        <v>239.25573260785075</v>
      </c>
      <c r="F50" s="1478">
        <f t="shared" si="33"/>
        <v>141.38899430740037</v>
      </c>
      <c r="G50" s="3272">
        <v>2007</v>
      </c>
      <c r="H50" s="1488">
        <v>3</v>
      </c>
      <c r="I50" s="1488">
        <v>8.65</v>
      </c>
      <c r="J50" s="1488">
        <v>8.06</v>
      </c>
      <c r="K50" s="1488">
        <v>9.94</v>
      </c>
      <c r="L50" s="1489">
        <v>5.8</v>
      </c>
      <c r="N50" s="1525">
        <f t="shared" si="30"/>
        <v>6.940217571740015E-2</v>
      </c>
      <c r="O50" s="1526">
        <f t="shared" si="30"/>
        <v>7.1197482471153428E-2</v>
      </c>
      <c r="P50" s="1526">
        <f t="shared" si="31"/>
        <v>0.10529679922579582</v>
      </c>
      <c r="Q50" s="1526">
        <f t="shared" si="31"/>
        <v>5.3292245059512133E-2</v>
      </c>
      <c r="R50" s="1475"/>
      <c r="S50" s="1473"/>
      <c r="T50" s="1474"/>
      <c r="U50" s="1474"/>
      <c r="V50" s="1474"/>
      <c r="X50" s="1527"/>
      <c r="Y50" s="1527"/>
      <c r="Z50" s="1527"/>
    </row>
    <row r="51" spans="1:26">
      <c r="A51" s="1462" t="s">
        <v>1189</v>
      </c>
      <c r="B51" s="1478">
        <f t="shared" si="32"/>
        <v>168.82017748715555</v>
      </c>
      <c r="C51" s="1478">
        <f t="shared" si="32"/>
        <v>148.06267029972753</v>
      </c>
      <c r="D51" s="1478">
        <f t="shared" si="12"/>
        <v>148.06267029972753</v>
      </c>
      <c r="E51" s="1478">
        <f t="shared" si="33"/>
        <v>216.46288379323747</v>
      </c>
      <c r="F51" s="1478">
        <f t="shared" si="33"/>
        <v>134.23529411764704</v>
      </c>
      <c r="G51" s="3272">
        <v>2007</v>
      </c>
      <c r="H51" s="1466">
        <v>2</v>
      </c>
      <c r="I51" s="1466">
        <v>3.67</v>
      </c>
      <c r="J51" s="1466">
        <v>2.3199999999999998</v>
      </c>
      <c r="K51" s="1466">
        <v>5.0199999999999996</v>
      </c>
      <c r="L51" s="1480">
        <v>6.71</v>
      </c>
      <c r="N51" s="1525">
        <f t="shared" si="30"/>
        <v>3.0339138143848032E-2</v>
      </c>
      <c r="O51" s="1526">
        <f t="shared" si="30"/>
        <v>2.0922341588790472E-2</v>
      </c>
      <c r="P51" s="1526">
        <f t="shared" si="31"/>
        <v>5.6164796592717003E-2</v>
      </c>
      <c r="Q51" s="1526">
        <f t="shared" si="31"/>
        <v>6.5704536723887319E-2</v>
      </c>
      <c r="R51" s="1475"/>
      <c r="S51" s="1473"/>
      <c r="T51" s="1474"/>
      <c r="U51" s="1474"/>
      <c r="V51" s="1474"/>
      <c r="X51" s="1527"/>
      <c r="Y51" s="1527"/>
      <c r="Z51" s="1527"/>
    </row>
    <row r="52" spans="1:26">
      <c r="A52" s="1462" t="s">
        <v>1190</v>
      </c>
      <c r="B52" s="1478">
        <f t="shared" si="32"/>
        <v>163.84913591779542</v>
      </c>
      <c r="C52" s="1478">
        <f t="shared" si="32"/>
        <v>145.0283378746594</v>
      </c>
      <c r="D52" s="1478">
        <f t="shared" si="12"/>
        <v>145.0283378746594</v>
      </c>
      <c r="E52" s="1478">
        <f t="shared" si="33"/>
        <v>204.95180722891567</v>
      </c>
      <c r="F52" s="1478">
        <f t="shared" si="33"/>
        <v>125.95920303605313</v>
      </c>
      <c r="G52" s="3273">
        <v>2007</v>
      </c>
      <c r="H52" s="1465">
        <v>1</v>
      </c>
      <c r="I52" s="1465">
        <v>3.58</v>
      </c>
      <c r="J52" s="1465">
        <v>3.08</v>
      </c>
      <c r="K52" s="1465">
        <v>4.34</v>
      </c>
      <c r="L52" s="1479">
        <v>3.21</v>
      </c>
      <c r="N52" s="1528">
        <f t="shared" si="30"/>
        <v>3.0497710174814063E-2</v>
      </c>
      <c r="O52" s="1529">
        <f t="shared" si="30"/>
        <v>2.8569772160704998E-2</v>
      </c>
      <c r="P52" s="1529">
        <f t="shared" si="31"/>
        <v>5.1034908866234296E-2</v>
      </c>
      <c r="Q52" s="1529">
        <f t="shared" si="3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12"/>
        <v>141</v>
      </c>
      <c r="E53" s="1491">
        <v>195</v>
      </c>
      <c r="F53" s="1492">
        <v>122</v>
      </c>
      <c r="G53" s="3271">
        <v>2006</v>
      </c>
      <c r="H53" s="1483">
        <v>4</v>
      </c>
      <c r="I53" s="1483">
        <v>3.79</v>
      </c>
      <c r="J53" s="1483">
        <v>2.21</v>
      </c>
      <c r="K53" s="1483">
        <v>5.65</v>
      </c>
      <c r="L53" s="1484">
        <v>5.41</v>
      </c>
      <c r="N53" s="1525">
        <f t="shared" ref="N53:O56" si="34">I53/SUM(I$53:I$56)*(B$53/B$57-1)</f>
        <v>7.245466462748526E-2</v>
      </c>
      <c r="O53" s="1526">
        <f t="shared" si="34"/>
        <v>2.3237230038062766E-2</v>
      </c>
      <c r="P53" s="1526">
        <f t="shared" ref="P53:Q56" si="35">K53/SUM(K$53:K$56)*(E$53/E$57-1)</f>
        <v>0.16146893866323722</v>
      </c>
      <c r="Q53" s="1526">
        <f t="shared" si="35"/>
        <v>5.0755230321793784E-2</v>
      </c>
      <c r="R53" s="1475"/>
      <c r="S53" s="1476"/>
      <c r="T53" s="1477"/>
      <c r="U53" s="1477"/>
      <c r="V53" s="1477"/>
      <c r="X53" s="1527"/>
      <c r="Y53" s="1527"/>
      <c r="Z53" s="1527"/>
    </row>
    <row r="54" spans="1:26">
      <c r="A54" s="1462" t="s">
        <v>1192</v>
      </c>
      <c r="B54" s="1478">
        <f t="shared" ref="B54:C56" si="36">B55+(B$53-B$57)*I54/SUM(I$53:I$56)</f>
        <v>149.00125628140702</v>
      </c>
      <c r="C54" s="1478">
        <f t="shared" si="36"/>
        <v>137.95592286501378</v>
      </c>
      <c r="D54" s="1478">
        <f t="shared" si="12"/>
        <v>137.95592286501378</v>
      </c>
      <c r="E54" s="1478">
        <f t="shared" ref="E54:F56" si="37">E55+(E$53-E$57)*K54/SUM(K$53:K$56)</f>
        <v>169.97231450719823</v>
      </c>
      <c r="F54" s="1478">
        <f t="shared" si="37"/>
        <v>116.21390374331551</v>
      </c>
      <c r="G54" s="3272">
        <v>2006</v>
      </c>
      <c r="H54" s="1488">
        <v>3</v>
      </c>
      <c r="I54" s="1488">
        <v>0.92</v>
      </c>
      <c r="J54" s="1488">
        <v>1.08</v>
      </c>
      <c r="K54" s="1488">
        <v>0.73</v>
      </c>
      <c r="L54" s="1489">
        <v>1.08</v>
      </c>
      <c r="N54" s="1525">
        <f t="shared" si="34"/>
        <v>1.7587939698492462E-2</v>
      </c>
      <c r="O54" s="1526">
        <f t="shared" si="34"/>
        <v>1.1355750425840628E-2</v>
      </c>
      <c r="P54" s="1526">
        <f t="shared" si="35"/>
        <v>2.0862358446754544E-2</v>
      </c>
      <c r="Q54" s="1526">
        <f t="shared" si="35"/>
        <v>1.0132282578103011E-2</v>
      </c>
      <c r="R54" s="1475"/>
      <c r="S54" s="1473"/>
      <c r="T54" s="1474"/>
      <c r="U54" s="1474"/>
      <c r="V54" s="1474"/>
      <c r="X54" s="1527"/>
      <c r="Y54" s="1527"/>
      <c r="Z54" s="1527"/>
    </row>
    <row r="55" spans="1:26">
      <c r="A55" s="1462" t="s">
        <v>1193</v>
      </c>
      <c r="B55" s="1478">
        <f t="shared" si="36"/>
        <v>146.57412060301507</v>
      </c>
      <c r="C55" s="1478">
        <f t="shared" si="36"/>
        <v>136.46831955922866</v>
      </c>
      <c r="D55" s="1478">
        <f t="shared" si="12"/>
        <v>136.46831955922866</v>
      </c>
      <c r="E55" s="1478">
        <f t="shared" si="37"/>
        <v>166.73864894795128</v>
      </c>
      <c r="F55" s="1478">
        <f t="shared" si="37"/>
        <v>115.05882352941177</v>
      </c>
      <c r="G55" s="3272">
        <v>2006</v>
      </c>
      <c r="H55" s="1466">
        <v>2</v>
      </c>
      <c r="I55" s="1466">
        <v>0.96</v>
      </c>
      <c r="J55" s="1466">
        <v>0.25</v>
      </c>
      <c r="K55" s="1466">
        <v>1.9</v>
      </c>
      <c r="L55" s="1480">
        <v>0.95</v>
      </c>
      <c r="N55" s="1525">
        <f t="shared" si="34"/>
        <v>1.8352632728861701E-2</v>
      </c>
      <c r="O55" s="1526">
        <f t="shared" si="34"/>
        <v>2.6286459319075526E-3</v>
      </c>
      <c r="P55" s="1526">
        <f t="shared" si="35"/>
        <v>5.4299289107991269E-2</v>
      </c>
      <c r="Q55" s="1526">
        <f t="shared" si="35"/>
        <v>8.9126559714794995E-3</v>
      </c>
      <c r="R55" s="1475"/>
      <c r="S55" s="1473"/>
      <c r="T55" s="1474"/>
      <c r="U55" s="1474"/>
      <c r="V55" s="1474"/>
      <c r="X55" s="1527"/>
      <c r="Y55" s="1527"/>
      <c r="Z55" s="1527"/>
    </row>
    <row r="56" spans="1:26">
      <c r="A56" s="1462" t="s">
        <v>1194</v>
      </c>
      <c r="B56" s="1478">
        <f t="shared" si="36"/>
        <v>144.04145728643215</v>
      </c>
      <c r="C56" s="1478">
        <f t="shared" si="36"/>
        <v>136.12396694214877</v>
      </c>
      <c r="D56" s="1478">
        <f t="shared" si="12"/>
        <v>136.12396694214877</v>
      </c>
      <c r="E56" s="1478">
        <f t="shared" si="37"/>
        <v>158.32225913621264</v>
      </c>
      <c r="F56" s="1478">
        <f t="shared" si="37"/>
        <v>114.04278074866311</v>
      </c>
      <c r="G56" s="3273">
        <v>2006</v>
      </c>
      <c r="H56" s="1465">
        <v>1</v>
      </c>
      <c r="I56" s="1465">
        <v>2.29</v>
      </c>
      <c r="J56" s="1465">
        <v>3.72</v>
      </c>
      <c r="K56" s="1465">
        <v>0.75</v>
      </c>
      <c r="L56" s="1479">
        <v>0.04</v>
      </c>
      <c r="N56" s="1528">
        <f t="shared" si="34"/>
        <v>4.3778675988638847E-2</v>
      </c>
      <c r="O56" s="1529">
        <f t="shared" si="34"/>
        <v>3.9114251466784385E-2</v>
      </c>
      <c r="P56" s="1529">
        <f t="shared" si="35"/>
        <v>2.1433929911049188E-2</v>
      </c>
      <c r="Q56" s="1529">
        <f t="shared" si="3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12"/>
        <v>131</v>
      </c>
      <c r="E57" s="1491">
        <v>155</v>
      </c>
      <c r="F57" s="1492">
        <v>114</v>
      </c>
      <c r="G57" s="3271">
        <v>2005</v>
      </c>
      <c r="H57" s="1483">
        <v>4</v>
      </c>
      <c r="I57" s="1483">
        <v>3.29</v>
      </c>
      <c r="J57" s="1483">
        <v>1.44</v>
      </c>
      <c r="K57" s="1483">
        <v>0.66</v>
      </c>
      <c r="L57" s="1484">
        <v>7.78</v>
      </c>
      <c r="N57" s="1525">
        <f t="shared" ref="N57:O60" si="38">I57/SUM(I$57:I$60)*(B$57/B$61-1)</f>
        <v>9.9404603216919935E-2</v>
      </c>
      <c r="O57" s="1526">
        <f t="shared" si="38"/>
        <v>4.7636550760861554E-2</v>
      </c>
      <c r="P57" s="1526">
        <f t="shared" ref="P57:Q60" si="39">K57/SUM(K$57:K$60)*(E$57/E$61-1)</f>
        <v>8.3756345177664976E-2</v>
      </c>
      <c r="Q57" s="1526">
        <f t="shared" si="39"/>
        <v>5.2148766661559584E-2</v>
      </c>
      <c r="R57" s="1475"/>
      <c r="S57" s="1476"/>
      <c r="T57" s="1477"/>
      <c r="U57" s="1477"/>
      <c r="V57" s="1477"/>
      <c r="X57" s="1527"/>
      <c r="Y57" s="1527"/>
      <c r="Z57" s="1527"/>
    </row>
    <row r="58" spans="1:26">
      <c r="A58" s="1462" t="s">
        <v>1196</v>
      </c>
      <c r="B58" s="1478">
        <f t="shared" ref="B58:C60" si="40">B59+(B$57-B$61)*I58/SUM(I$57:I$60)</f>
        <v>125.9720430107527</v>
      </c>
      <c r="C58" s="1478">
        <f t="shared" si="40"/>
        <v>125.1883408071749</v>
      </c>
      <c r="D58" s="1478">
        <f t="shared" si="12"/>
        <v>125.1883408071749</v>
      </c>
      <c r="E58" s="1478">
        <f t="shared" ref="E58:F60" si="41">E59+(E$57-E$61)*K58/SUM(K$57:K$60)</f>
        <v>144.61421319796952</v>
      </c>
      <c r="F58" s="1478">
        <f t="shared" si="41"/>
        <v>108.42008196721311</v>
      </c>
      <c r="G58" s="3272">
        <v>2005</v>
      </c>
      <c r="H58" s="1488">
        <v>3</v>
      </c>
      <c r="I58" s="1488">
        <v>0.46</v>
      </c>
      <c r="J58" s="1488">
        <v>0.32</v>
      </c>
      <c r="K58" s="1488">
        <v>0.42</v>
      </c>
      <c r="L58" s="1489">
        <v>0.64</v>
      </c>
      <c r="N58" s="1525">
        <f t="shared" si="38"/>
        <v>1.3898515951301874E-2</v>
      </c>
      <c r="O58" s="1526">
        <f t="shared" si="38"/>
        <v>1.0585900169080346E-2</v>
      </c>
      <c r="P58" s="1526">
        <f t="shared" si="39"/>
        <v>5.3299492385786795E-2</v>
      </c>
      <c r="Q58" s="1526">
        <f t="shared" si="39"/>
        <v>4.2898728359123568E-3</v>
      </c>
      <c r="R58" s="1475"/>
      <c r="S58" s="1473"/>
      <c r="T58" s="1474"/>
      <c r="U58" s="1474"/>
      <c r="V58" s="1474"/>
      <c r="X58" s="1527"/>
      <c r="Y58" s="1527"/>
      <c r="Z58" s="1527"/>
    </row>
    <row r="59" spans="1:26">
      <c r="A59" s="1462" t="s">
        <v>1197</v>
      </c>
      <c r="B59" s="1478">
        <f t="shared" si="40"/>
        <v>124.29032258064517</v>
      </c>
      <c r="C59" s="1478">
        <f t="shared" si="40"/>
        <v>123.8968609865471</v>
      </c>
      <c r="D59" s="1478">
        <f t="shared" si="12"/>
        <v>123.8968609865471</v>
      </c>
      <c r="E59" s="1478">
        <f t="shared" si="41"/>
        <v>138.00507614213197</v>
      </c>
      <c r="F59" s="1478">
        <f t="shared" si="41"/>
        <v>107.96106557377048</v>
      </c>
      <c r="G59" s="3272">
        <v>2005</v>
      </c>
      <c r="H59" s="1466">
        <v>2</v>
      </c>
      <c r="I59" s="1466">
        <v>0.47</v>
      </c>
      <c r="J59" s="1466">
        <v>0.1</v>
      </c>
      <c r="K59" s="1466">
        <v>0.52</v>
      </c>
      <c r="L59" s="1480">
        <v>0.79</v>
      </c>
      <c r="N59" s="1525">
        <f t="shared" si="38"/>
        <v>1.420065760241713E-2</v>
      </c>
      <c r="O59" s="1526">
        <f t="shared" si="38"/>
        <v>3.3080938028376083E-3</v>
      </c>
      <c r="P59" s="1526">
        <f t="shared" si="39"/>
        <v>6.598984771573603E-2</v>
      </c>
      <c r="Q59" s="1526">
        <f t="shared" si="39"/>
        <v>5.2953117818293153E-3</v>
      </c>
      <c r="R59" s="1475"/>
      <c r="S59" s="1473"/>
      <c r="T59" s="1474"/>
      <c r="U59" s="1474"/>
      <c r="V59" s="1474"/>
      <c r="X59" s="1527"/>
      <c r="Y59" s="1527"/>
      <c r="Z59" s="1527"/>
    </row>
    <row r="60" spans="1:26">
      <c r="A60" s="1462" t="s">
        <v>1198</v>
      </c>
      <c r="B60" s="1478">
        <f t="shared" si="40"/>
        <v>122.57204301075269</v>
      </c>
      <c r="C60" s="1478">
        <f t="shared" si="40"/>
        <v>123.4932735426009</v>
      </c>
      <c r="D60" s="1478">
        <f t="shared" si="12"/>
        <v>123.4932735426009</v>
      </c>
      <c r="E60" s="1478">
        <f t="shared" si="41"/>
        <v>129.82233502538071</v>
      </c>
      <c r="F60" s="1478">
        <f t="shared" si="41"/>
        <v>107.39446721311475</v>
      </c>
      <c r="G60" s="3273">
        <v>2005</v>
      </c>
      <c r="H60" s="1465">
        <v>1</v>
      </c>
      <c r="I60" s="1465">
        <v>0.43</v>
      </c>
      <c r="J60" s="1465">
        <v>0.37</v>
      </c>
      <c r="K60" s="1465">
        <v>0.37</v>
      </c>
      <c r="L60" s="1479">
        <v>0.55000000000000004</v>
      </c>
      <c r="N60" s="1528">
        <f t="shared" si="38"/>
        <v>1.2992090997956099E-2</v>
      </c>
      <c r="O60" s="1529">
        <f t="shared" si="38"/>
        <v>1.2239947070499151E-2</v>
      </c>
      <c r="P60" s="1529">
        <f t="shared" si="39"/>
        <v>4.6954314720812178E-2</v>
      </c>
      <c r="Q60" s="1529">
        <f t="shared" si="3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12"/>
        <v>122</v>
      </c>
      <c r="E61" s="1512">
        <v>124</v>
      </c>
      <c r="F61" s="1513">
        <v>107</v>
      </c>
      <c r="G61" s="3271">
        <v>2004</v>
      </c>
      <c r="H61" s="1483">
        <v>4</v>
      </c>
      <c r="I61" s="1483">
        <v>0.33</v>
      </c>
      <c r="J61" s="1483">
        <v>0.5</v>
      </c>
      <c r="K61" s="1483">
        <v>0.5</v>
      </c>
      <c r="L61" s="1484">
        <v>0</v>
      </c>
      <c r="N61" s="1525">
        <f t="shared" ref="N61:O64" si="42">I61/SUM(I$61:I$64)*(B$61/B$65-1)</f>
        <v>1.3391770148526898E-2</v>
      </c>
      <c r="O61" s="1526">
        <f t="shared" si="42"/>
        <v>1.063264221158958E-2</v>
      </c>
      <c r="P61" s="1526">
        <f t="shared" ref="P61:Q64" si="43">K61/SUM(K$61:K$64)*(E$61/E$65-1)</f>
        <v>2.2244466688911134E-2</v>
      </c>
      <c r="Q61" s="1526">
        <f t="shared" si="43"/>
        <v>0</v>
      </c>
      <c r="R61" s="1475"/>
      <c r="S61" s="1476"/>
      <c r="T61" s="1477"/>
      <c r="U61" s="1477"/>
      <c r="V61" s="1477"/>
      <c r="X61" s="1527"/>
      <c r="Y61" s="1527"/>
      <c r="Z61" s="1527"/>
    </row>
    <row r="62" spans="1:26">
      <c r="A62" s="1462" t="s">
        <v>1200</v>
      </c>
      <c r="B62" s="1478">
        <f t="shared" ref="B62:C64" si="44">B63+(B$61-B$65)*I62/SUM(I$61:I$64)</f>
        <v>119.51351351351352</v>
      </c>
      <c r="C62" s="1478">
        <f t="shared" si="44"/>
        <v>120.7878787878788</v>
      </c>
      <c r="D62" s="1478">
        <f t="shared" si="12"/>
        <v>120.7878787878788</v>
      </c>
      <c r="E62" s="1478">
        <f t="shared" ref="E62:F64" si="45">E63+(E$61-E$65)*K62/SUM(K$61:K$64)</f>
        <v>121.5975975975976</v>
      </c>
      <c r="F62" s="1478">
        <f t="shared" si="45"/>
        <v>107</v>
      </c>
      <c r="G62" s="3272">
        <v>2004</v>
      </c>
      <c r="H62" s="1488">
        <v>3</v>
      </c>
      <c r="I62" s="1488">
        <v>0.56000000000000005</v>
      </c>
      <c r="J62" s="1488">
        <v>0.8</v>
      </c>
      <c r="K62" s="1488">
        <v>0.83</v>
      </c>
      <c r="L62" s="1489">
        <v>0.06</v>
      </c>
      <c r="N62" s="1525">
        <f t="shared" si="42"/>
        <v>2.2725428130833527E-2</v>
      </c>
      <c r="O62" s="1526">
        <f t="shared" si="42"/>
        <v>1.7012227538543329E-2</v>
      </c>
      <c r="P62" s="1526">
        <f t="shared" si="43"/>
        <v>3.6925814703592477E-2</v>
      </c>
      <c r="Q62" s="1526">
        <f t="shared" si="43"/>
        <v>2.8846153846153744E-2</v>
      </c>
      <c r="R62" s="1475"/>
      <c r="S62" s="1473"/>
      <c r="T62" s="1474"/>
      <c r="U62" s="1474"/>
      <c r="V62" s="1474"/>
      <c r="X62" s="1527"/>
      <c r="Y62" s="1527"/>
      <c r="Z62" s="1527"/>
    </row>
    <row r="63" spans="1:26">
      <c r="A63" s="1462" t="s">
        <v>1201</v>
      </c>
      <c r="B63" s="1478">
        <f t="shared" si="44"/>
        <v>116.99099099099099</v>
      </c>
      <c r="C63" s="1478">
        <f t="shared" si="44"/>
        <v>118.84848484848486</v>
      </c>
      <c r="D63" s="1478">
        <f t="shared" si="12"/>
        <v>118.84848484848486</v>
      </c>
      <c r="E63" s="1478">
        <f t="shared" si="45"/>
        <v>117.60960960960961</v>
      </c>
      <c r="F63" s="1478">
        <f t="shared" si="45"/>
        <v>104</v>
      </c>
      <c r="G63" s="3272">
        <v>2004</v>
      </c>
      <c r="H63" s="1466">
        <v>2</v>
      </c>
      <c r="I63" s="1466">
        <v>1</v>
      </c>
      <c r="J63" s="1466">
        <v>1.5</v>
      </c>
      <c r="K63" s="1466">
        <v>1.5</v>
      </c>
      <c r="L63" s="1480">
        <v>0</v>
      </c>
      <c r="N63" s="1525">
        <f t="shared" si="42"/>
        <v>4.0581121662202721E-2</v>
      </c>
      <c r="O63" s="1526">
        <f t="shared" si="42"/>
        <v>3.1897926634768738E-2</v>
      </c>
      <c r="P63" s="1526">
        <f t="shared" si="43"/>
        <v>6.6733400066733395E-2</v>
      </c>
      <c r="Q63" s="1526">
        <f t="shared" si="43"/>
        <v>0</v>
      </c>
      <c r="R63" s="1475"/>
      <c r="S63" s="1473"/>
      <c r="T63" s="1474"/>
      <c r="U63" s="1474"/>
      <c r="V63" s="1474"/>
      <c r="X63" s="1527"/>
      <c r="Y63" s="1527"/>
      <c r="Z63" s="1527"/>
    </row>
    <row r="64" spans="1:26" s="1518" customFormat="1" ht="13.5" thickBot="1">
      <c r="A64" s="1462" t="s">
        <v>1202</v>
      </c>
      <c r="B64" s="1515">
        <f t="shared" si="44"/>
        <v>112.48648648648648</v>
      </c>
      <c r="C64" s="1515">
        <f t="shared" si="44"/>
        <v>115.21212121212122</v>
      </c>
      <c r="D64" s="1515">
        <f t="shared" si="12"/>
        <v>115.21212121212122</v>
      </c>
      <c r="E64" s="1515">
        <f t="shared" si="45"/>
        <v>110.4024024024024</v>
      </c>
      <c r="F64" s="1515">
        <f t="shared" si="45"/>
        <v>104</v>
      </c>
      <c r="G64" s="3273">
        <v>2004</v>
      </c>
      <c r="H64" s="1516">
        <v>1</v>
      </c>
      <c r="I64" s="1516">
        <v>0.33</v>
      </c>
      <c r="J64" s="1516">
        <v>0.5</v>
      </c>
      <c r="K64" s="1516">
        <v>0.5</v>
      </c>
      <c r="L64" s="1517">
        <v>0</v>
      </c>
      <c r="N64" s="1530">
        <f t="shared" si="42"/>
        <v>1.3391770148526898E-2</v>
      </c>
      <c r="O64" s="1531">
        <f t="shared" si="42"/>
        <v>1.063264221158958E-2</v>
      </c>
      <c r="P64" s="1531">
        <f t="shared" si="43"/>
        <v>2.2244466688911134E-2</v>
      </c>
      <c r="Q64" s="1531">
        <f t="shared" si="43"/>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12"/>
        <v>114</v>
      </c>
      <c r="E65" s="1533">
        <v>108</v>
      </c>
      <c r="F65" s="1534">
        <v>104</v>
      </c>
      <c r="G65" s="3271">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46">B67+(B$65-B$69)/4</f>
        <v>109.75</v>
      </c>
      <c r="C66" s="1537">
        <f t="shared" si="46"/>
        <v>112.25</v>
      </c>
      <c r="D66" s="1537">
        <f t="shared" si="12"/>
        <v>112.25</v>
      </c>
      <c r="E66" s="1537">
        <f t="shared" ref="E66:F68" si="47">E67+(E$65-E$69)/4</f>
        <v>107.25</v>
      </c>
      <c r="F66" s="1537">
        <f t="shared" si="47"/>
        <v>103.5</v>
      </c>
      <c r="G66" s="3272">
        <v>2003</v>
      </c>
      <c r="H66" s="1488">
        <v>3</v>
      </c>
      <c r="I66" s="1535"/>
      <c r="J66" s="1535"/>
      <c r="K66" s="1535"/>
      <c r="L66" s="1535"/>
      <c r="X66" s="1527"/>
      <c r="Y66" s="1527"/>
      <c r="Z66" s="1527"/>
    </row>
    <row r="67" spans="1:26">
      <c r="A67" s="1462" t="s">
        <v>1205</v>
      </c>
      <c r="B67" s="1537">
        <f t="shared" si="46"/>
        <v>108.5</v>
      </c>
      <c r="C67" s="1537">
        <f t="shared" si="46"/>
        <v>110.5</v>
      </c>
      <c r="D67" s="1537">
        <f t="shared" si="12"/>
        <v>110.5</v>
      </c>
      <c r="E67" s="1537">
        <f t="shared" si="47"/>
        <v>106.5</v>
      </c>
      <c r="F67" s="1537">
        <f t="shared" si="47"/>
        <v>103</v>
      </c>
      <c r="G67" s="3272">
        <v>2003</v>
      </c>
      <c r="H67" s="1466">
        <v>2</v>
      </c>
      <c r="I67" s="1535"/>
      <c r="J67" s="1535"/>
      <c r="K67" s="1535"/>
      <c r="L67" s="1535"/>
      <c r="X67" s="1527"/>
      <c r="Y67" s="1527"/>
      <c r="Z67" s="1527"/>
    </row>
    <row r="68" spans="1:26" ht="13.5" thickBot="1">
      <c r="A68" s="1462" t="s">
        <v>1206</v>
      </c>
      <c r="B68" s="1537">
        <f t="shared" si="46"/>
        <v>107.25</v>
      </c>
      <c r="C68" s="1537">
        <f t="shared" si="46"/>
        <v>108.75</v>
      </c>
      <c r="D68" s="1537">
        <f t="shared" si="12"/>
        <v>108.75</v>
      </c>
      <c r="E68" s="1537">
        <f t="shared" si="47"/>
        <v>105.75</v>
      </c>
      <c r="F68" s="1537">
        <f t="shared" si="47"/>
        <v>102.5</v>
      </c>
      <c r="G68" s="3273">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12"/>
        <v>107</v>
      </c>
      <c r="E69" s="1539">
        <v>105</v>
      </c>
      <c r="F69" s="1540">
        <v>102</v>
      </c>
      <c r="G69" s="3271">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48">B71+(B$69-B$73)/4</f>
        <v>105</v>
      </c>
      <c r="C70" s="1537">
        <f t="shared" si="48"/>
        <v>106</v>
      </c>
      <c r="D70" s="1537">
        <f t="shared" si="12"/>
        <v>106</v>
      </c>
      <c r="E70" s="1537">
        <f t="shared" ref="E70:F72" si="49">E71+(E$69-E$73)/4</f>
        <v>104.5</v>
      </c>
      <c r="F70" s="1537">
        <f t="shared" si="49"/>
        <v>101.5</v>
      </c>
      <c r="G70" s="3272">
        <v>2002</v>
      </c>
      <c r="H70" s="1488">
        <v>3</v>
      </c>
      <c r="I70" s="1535"/>
      <c r="J70" s="1535"/>
      <c r="K70" s="1535"/>
      <c r="L70" s="1535"/>
      <c r="X70" s="1527"/>
      <c r="Y70" s="1527"/>
      <c r="Z70" s="1527"/>
    </row>
    <row r="71" spans="1:26">
      <c r="A71" s="1462" t="s">
        <v>1209</v>
      </c>
      <c r="B71" s="1537">
        <f t="shared" si="48"/>
        <v>104</v>
      </c>
      <c r="C71" s="1537">
        <f t="shared" si="48"/>
        <v>105</v>
      </c>
      <c r="D71" s="1537">
        <f t="shared" si="12"/>
        <v>105</v>
      </c>
      <c r="E71" s="1537">
        <f t="shared" si="49"/>
        <v>104</v>
      </c>
      <c r="F71" s="1537">
        <f t="shared" si="49"/>
        <v>101</v>
      </c>
      <c r="G71" s="3272">
        <v>2002</v>
      </c>
      <c r="H71" s="1466">
        <v>2</v>
      </c>
      <c r="I71" s="1535"/>
      <c r="J71" s="1535"/>
      <c r="K71" s="1535"/>
      <c r="L71" s="1535"/>
      <c r="X71" s="1527"/>
      <c r="Y71" s="1527"/>
      <c r="Z71" s="1527"/>
    </row>
    <row r="72" spans="1:26" s="1499" customFormat="1" ht="13.5" thickBot="1">
      <c r="A72" s="1495" t="s">
        <v>1210</v>
      </c>
      <c r="B72" s="1541">
        <f t="shared" si="48"/>
        <v>103</v>
      </c>
      <c r="C72" s="1541">
        <f t="shared" si="48"/>
        <v>104</v>
      </c>
      <c r="D72" s="1541">
        <f t="shared" si="12"/>
        <v>104</v>
      </c>
      <c r="E72" s="1541">
        <f t="shared" si="49"/>
        <v>103.5</v>
      </c>
      <c r="F72" s="1541">
        <f t="shared" si="49"/>
        <v>100.5</v>
      </c>
      <c r="G72" s="3273">
        <v>2002</v>
      </c>
      <c r="H72" s="1542">
        <v>1</v>
      </c>
      <c r="I72" s="1543"/>
      <c r="J72" s="1543"/>
      <c r="K72" s="1543"/>
      <c r="L72" s="1543"/>
      <c r="N72" s="1544"/>
      <c r="S72" s="1544"/>
      <c r="X72" s="1545"/>
      <c r="Y72" s="1545"/>
      <c r="Z72" s="1545"/>
    </row>
    <row r="73" spans="1:26" ht="13.5" thickBot="1">
      <c r="B73" s="1546">
        <v>102</v>
      </c>
      <c r="C73" s="1547">
        <v>103</v>
      </c>
      <c r="D73" s="1547">
        <f t="shared" si="12"/>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3003</v>
      </c>
      <c r="C1" s="3280" t="s">
        <v>3004</v>
      </c>
      <c r="D1" s="3281"/>
      <c r="E1" s="3281"/>
      <c r="F1" s="3281"/>
      <c r="G1" s="3281"/>
      <c r="H1" s="3281"/>
      <c r="I1" s="3281"/>
      <c r="J1" s="3281"/>
      <c r="K1" s="3281"/>
      <c r="L1" s="3281"/>
      <c r="M1" s="3281"/>
      <c r="N1" s="3281"/>
      <c r="O1" s="3281"/>
      <c r="P1" s="3281"/>
      <c r="Q1" s="3281"/>
      <c r="R1" s="3281"/>
      <c r="S1" s="3282"/>
      <c r="T1" s="1205" t="s">
        <v>3005</v>
      </c>
    </row>
    <row r="2" spans="1:45" s="707" customFormat="1">
      <c r="A2" s="1206"/>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0" t="s">
        <v>3007</v>
      </c>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1" t="s">
        <v>3008</v>
      </c>
      <c r="C7" s="1122"/>
      <c r="D7" s="1116"/>
      <c r="E7" s="1116"/>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1" t="s">
        <v>3009</v>
      </c>
      <c r="C9" s="1122"/>
      <c r="D9" s="1116"/>
      <c r="E9" s="1116"/>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0" t="s">
        <v>3010</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5">D12-$T11</f>
        <v>100</v>
      </c>
      <c r="F12" s="1120">
        <f t="shared" si="5"/>
        <v>100</v>
      </c>
      <c r="G12" s="1120">
        <f t="shared" si="5"/>
        <v>100</v>
      </c>
      <c r="H12" s="1120">
        <f t="shared" si="5"/>
        <v>100</v>
      </c>
      <c r="I12" s="1120">
        <f t="shared" si="5"/>
        <v>100</v>
      </c>
      <c r="J12" s="1120">
        <f t="shared" si="5"/>
        <v>100</v>
      </c>
      <c r="K12" s="1120">
        <f t="shared" si="5"/>
        <v>100</v>
      </c>
      <c r="L12" s="1120">
        <f t="shared" si="5"/>
        <v>100</v>
      </c>
      <c r="M12" s="1120">
        <f t="shared" si="5"/>
        <v>100</v>
      </c>
      <c r="N12" s="1120">
        <f t="shared" si="5"/>
        <v>100</v>
      </c>
      <c r="O12" s="1120">
        <f t="shared" si="5"/>
        <v>100</v>
      </c>
      <c r="P12" s="1120">
        <f t="shared" si="5"/>
        <v>100</v>
      </c>
      <c r="Q12" s="1120">
        <f t="shared" si="5"/>
        <v>100</v>
      </c>
      <c r="R12" s="1120">
        <f>Q12-$T11</f>
        <v>100</v>
      </c>
      <c r="S12" s="1120">
        <f t="shared" si="5"/>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0" t="s">
        <v>3011</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3012</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3013</v>
      </c>
      <c r="B17" s="2917" t="s">
        <v>3014</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8" t="s">
        <v>3015</v>
      </c>
      <c r="E19" s="1793"/>
      <c r="F19" s="1793"/>
      <c r="G19" s="1793"/>
      <c r="H19" s="1281"/>
      <c r="I19" s="168"/>
      <c r="J19" s="168"/>
      <c r="K19" s="168"/>
      <c r="L19" s="168"/>
      <c r="M19" s="168"/>
      <c r="N19" s="168"/>
      <c r="O19" s="168"/>
      <c r="P19" s="168"/>
      <c r="Q19" s="168"/>
      <c r="R19" s="788"/>
      <c r="S19" s="138"/>
    </row>
    <row r="20" spans="1:45" ht="16.5" thickBot="1">
      <c r="A20" s="715" t="s">
        <v>3016</v>
      </c>
      <c r="B20" s="338" t="e">
        <f ca="1">IF(D20="——",S22,S22-F20)</f>
        <v>#REF!</v>
      </c>
      <c r="C20" s="168"/>
      <c r="D20" s="2919" t="s">
        <v>3017</v>
      </c>
      <c r="E20" s="1794"/>
      <c r="F20" s="1205" t="e">
        <f ca="1">SUMIF(INDIRECT("'"&amp;H20&amp;"'"&amp;"!A:A"),"承租人权益价值",INDIRECT("'"&amp;H20&amp;"'"&amp;"!c:c"))</f>
        <v>#REF!</v>
      </c>
      <c r="G20" s="1205" t="s">
        <v>3018</v>
      </c>
      <c r="H20" s="2920"/>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63" t="s">
        <v>33</v>
      </c>
      <c r="D22" s="3064"/>
      <c r="E22" s="3064"/>
      <c r="F22" s="3064"/>
      <c r="G22" s="3064"/>
      <c r="H22" s="3064"/>
      <c r="I22" s="3064"/>
      <c r="J22" s="3064"/>
      <c r="K22" s="3064"/>
      <c r="L22" s="3064"/>
      <c r="M22" s="3064"/>
      <c r="N22" s="3064"/>
      <c r="O22" s="3064"/>
      <c r="P22" s="3064"/>
      <c r="Q22" s="3279"/>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61828</v>
      </c>
      <c r="C2" s="2" t="s">
        <v>133</v>
      </c>
      <c r="D2" s="243"/>
      <c r="E2" s="243"/>
      <c r="F2" s="243"/>
      <c r="G2" s="243"/>
    </row>
    <row r="3" spans="1:7" s="244" customFormat="1" ht="18" customHeight="1" thickBot="1">
      <c r="A3" s="247" t="s">
        <v>85</v>
      </c>
      <c r="B3" s="248">
        <f ca="1">ROUND(B2*10000/'数据-汇总表'!E3,0)</f>
        <v>12336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1002</v>
      </c>
      <c r="D10" s="1033">
        <f>'数据-汇总表'!E6</f>
        <v>50120.32</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50120.32</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2024</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4625</v>
      </c>
      <c r="D27" s="279">
        <f>C29</f>
        <v>4.4000000000000003E-3</v>
      </c>
      <c r="E27" s="280" t="s">
        <v>126</v>
      </c>
      <c r="F27" s="290">
        <f>'数据-取费表'!Q16</f>
        <v>0.22</v>
      </c>
      <c r="G27" s="291" t="s">
        <v>1069</v>
      </c>
    </row>
    <row r="28" spans="1:7" s="258" customFormat="1" ht="13.5" customHeight="1">
      <c r="A28" s="952" t="s">
        <v>794</v>
      </c>
      <c r="B28" s="292" t="s">
        <v>1062</v>
      </c>
      <c r="C28" s="293">
        <f>ROUND((C5+C19+C20)*F27*'数据-取费表'!B21/'数据-取费表'!B20,0)</f>
        <v>4625</v>
      </c>
      <c r="D28" s="279"/>
      <c r="E28" s="280"/>
      <c r="F28" s="290"/>
      <c r="G28" s="291"/>
    </row>
    <row r="29" spans="1:7" s="258" customFormat="1" ht="13.5" customHeight="1">
      <c r="A29" s="952" t="s">
        <v>792</v>
      </c>
      <c r="B29" s="292" t="s">
        <v>1063</v>
      </c>
      <c r="C29" s="282">
        <f>ROUND(C21*F27*'数据-取费表'!B21/'数据-取费表'!B20,4)</f>
        <v>4.4000000000000003E-3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24281</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22277</v>
      </c>
      <c r="D34" s="261"/>
      <c r="E34" s="264"/>
      <c r="F34" s="301">
        <f>IF('数据-取费表'!B24=0,1,'数据-取费表'!N16)</f>
        <v>1</v>
      </c>
      <c r="G34" s="263" t="s">
        <v>116</v>
      </c>
    </row>
    <row r="35" spans="1:7" ht="13.5" customHeight="1">
      <c r="A35" s="952" t="s">
        <v>796</v>
      </c>
      <c r="B35" s="259" t="s">
        <v>60</v>
      </c>
      <c r="C35" s="264">
        <f>ROUND(C34*F35,0)</f>
        <v>668</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0.04</v>
      </c>
      <c r="G36" s="304" t="s">
        <v>62</v>
      </c>
    </row>
    <row r="37" spans="1:7" s="302" customFormat="1" ht="13.5" customHeight="1">
      <c r="A37" s="952" t="s">
        <v>798</v>
      </c>
      <c r="B37" s="259" t="s">
        <v>118</v>
      </c>
      <c r="C37" s="293">
        <f>ROUND(E37*D37*F34/10000,0)</f>
        <v>1002</v>
      </c>
      <c r="D37" s="261">
        <f>'数据-汇总表'!E3</f>
        <v>50120.32</v>
      </c>
      <c r="E37" s="293">
        <f>'数据-取费表'!B35</f>
        <v>200</v>
      </c>
      <c r="F37" s="303"/>
      <c r="G37" s="305" t="s">
        <v>119</v>
      </c>
    </row>
    <row r="38" spans="1:7" ht="13.5" customHeight="1">
      <c r="A38" s="952" t="s">
        <v>799</v>
      </c>
      <c r="B38" s="259" t="s">
        <v>63</v>
      </c>
      <c r="C38" s="264">
        <f>ROUND(C34*F38,0)</f>
        <v>334</v>
      </c>
      <c r="D38" s="264"/>
      <c r="E38" s="264"/>
      <c r="F38" s="303">
        <f>'数据-取费表'!B36</f>
        <v>1.4999999999999999E-2</v>
      </c>
      <c r="G38" s="263" t="s">
        <v>117</v>
      </c>
    </row>
    <row r="39" spans="1:7" s="258" customFormat="1" ht="13.5" customHeight="1">
      <c r="A39" s="949" t="s">
        <v>783</v>
      </c>
      <c r="B39" s="254" t="s">
        <v>104</v>
      </c>
      <c r="C39" s="276">
        <f>ROUND(C33*F20,0)</f>
        <v>486</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1176</v>
      </c>
      <c r="D41" s="279">
        <f ca="1">C44</f>
        <v>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1153</v>
      </c>
      <c r="D42" s="282"/>
      <c r="E42" s="282"/>
      <c r="F42" s="283"/>
      <c r="G42" s="3148" t="s">
        <v>121</v>
      </c>
    </row>
    <row r="43" spans="1:7" ht="13.5" customHeight="1">
      <c r="A43" s="952" t="s">
        <v>792</v>
      </c>
      <c r="B43" s="259" t="s">
        <v>1064</v>
      </c>
      <c r="C43" s="282">
        <f ca="1">ROUND(IF('数据-取费表'!B22&lt;=1,C39*F22*'数据-取费表'!B21/2,C39*(POWER((1+F22),'数据-取费表'!B21/2)-1)),0)</f>
        <v>23</v>
      </c>
      <c r="D43" s="282"/>
      <c r="E43" s="282"/>
      <c r="F43" s="283"/>
      <c r="G43" s="3149"/>
    </row>
    <row r="44" spans="1:7" ht="13.5" customHeight="1">
      <c r="A44" s="952" t="s">
        <v>793</v>
      </c>
      <c r="B44" s="259" t="s">
        <v>1066</v>
      </c>
      <c r="C44" s="282">
        <f ca="1">ROUND(IF('数据-取费表'!B22&lt;=1,C40*F22*'数据-取费表'!B21/2,C40*(POWER((1+F22),'数据-取费表'!B21/2)-1)),4)</f>
        <v>1E-3</v>
      </c>
      <c r="D44" s="282"/>
      <c r="E44" s="282"/>
      <c r="F44" s="283"/>
      <c r="G44" s="3150"/>
    </row>
    <row r="45" spans="1:7" s="258" customFormat="1" ht="13.5" customHeight="1">
      <c r="A45" s="949" t="s">
        <v>786</v>
      </c>
      <c r="B45" s="288" t="s">
        <v>112</v>
      </c>
      <c r="C45" s="289">
        <f>C46</f>
        <v>5449</v>
      </c>
      <c r="D45" s="279">
        <f>C47</f>
        <v>4.4000000000000003E-3</v>
      </c>
      <c r="E45" s="280" t="s">
        <v>129</v>
      </c>
      <c r="F45" s="290"/>
      <c r="G45" s="291" t="s">
        <v>1072</v>
      </c>
    </row>
    <row r="46" spans="1:7" s="258" customFormat="1" ht="13.5" customHeight="1">
      <c r="A46" s="952" t="s">
        <v>794</v>
      </c>
      <c r="B46" s="292" t="s">
        <v>1065</v>
      </c>
      <c r="C46" s="293">
        <f>ROUND((C33+C39)*F27,0)</f>
        <v>5449</v>
      </c>
      <c r="D46" s="307"/>
      <c r="E46" s="280"/>
      <c r="F46" s="290"/>
      <c r="G46" s="291"/>
    </row>
    <row r="47" spans="1:7" s="258" customFormat="1" ht="13.5" customHeight="1">
      <c r="A47" s="952" t="s">
        <v>792</v>
      </c>
      <c r="B47" s="292" t="s">
        <v>1067</v>
      </c>
      <c r="C47" s="282">
        <f>ROUND(C40*F27,4)</f>
        <v>4.4000000000000003E-3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34075</v>
      </c>
      <c r="D49" s="276"/>
      <c r="E49" s="276"/>
      <c r="F49" s="308"/>
      <c r="G49" s="278" t="s">
        <v>1073</v>
      </c>
    </row>
    <row r="50" spans="1:7" s="302" customFormat="1" ht="24">
      <c r="A50" s="949" t="s">
        <v>789</v>
      </c>
      <c r="B50" s="254" t="s">
        <v>124</v>
      </c>
      <c r="C50" s="276"/>
      <c r="D50" s="276"/>
      <c r="E50" s="276"/>
      <c r="F50" s="308">
        <f>IF('数据-取费表'!B24=0,'数据-取费表'!N16,1)</f>
        <v>0.93300000000000005</v>
      </c>
      <c r="G50" s="291" t="s">
        <v>125</v>
      </c>
    </row>
    <row r="51" spans="1:7" ht="16.5" customHeight="1">
      <c r="A51" s="949" t="s">
        <v>790</v>
      </c>
      <c r="B51" s="254" t="s">
        <v>132</v>
      </c>
      <c r="C51" s="276">
        <f ca="1">ROUND(C49*F50,0)</f>
        <v>31792</v>
      </c>
      <c r="D51" s="276"/>
      <c r="E51" s="276"/>
      <c r="F51" s="308"/>
      <c r="G51" s="278" t="s">
        <v>64</v>
      </c>
    </row>
    <row r="52" spans="1:7" s="252" customFormat="1" ht="16.5" thickBot="1">
      <c r="A52" s="309" t="s">
        <v>65</v>
      </c>
      <c r="B52" s="310"/>
      <c r="C52" s="311">
        <f ca="1">C31+C51</f>
        <v>61828</v>
      </c>
      <c r="D52" s="310"/>
      <c r="E52" s="310"/>
      <c r="F52" s="310"/>
      <c r="G52" s="312"/>
    </row>
    <row r="55" spans="1:7" ht="15">
      <c r="B55" s="314" t="s">
        <v>66</v>
      </c>
      <c r="C55" s="315"/>
    </row>
    <row r="56" spans="1:7">
      <c r="B56" s="317" t="s">
        <v>67</v>
      </c>
      <c r="C56" s="318">
        <f ca="1">ROUND(C51/C52,3)</f>
        <v>0.51400000000000001</v>
      </c>
    </row>
    <row r="57" spans="1:7">
      <c r="B57" s="317" t="s">
        <v>68</v>
      </c>
      <c r="C57" s="319">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3" t="s">
        <v>156</v>
      </c>
      <c r="B1" s="3283"/>
      <c r="C1" s="3283"/>
      <c r="D1" s="3283"/>
      <c r="E1" s="3283"/>
      <c r="F1" s="328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4" t="s">
        <v>169</v>
      </c>
      <c r="B2" s="3284"/>
      <c r="C2" s="3284"/>
      <c r="D2" s="3284"/>
      <c r="E2" s="3284"/>
      <c r="F2" s="328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3" t="s">
        <v>871</v>
      </c>
      <c r="B1" s="328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43458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1641</v>
      </c>
      <c r="B2" s="2975" t="s">
        <v>1642</v>
      </c>
      <c r="C2" s="2975" t="s">
        <v>1643</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5" t="s">
        <v>1638</v>
      </c>
      <c r="E3" s="1045" t="s">
        <v>1644</v>
      </c>
      <c r="F3" s="1045" t="s">
        <v>1638</v>
      </c>
      <c r="G3" s="1045" t="s">
        <v>1639</v>
      </c>
      <c r="H3" s="1045" t="s">
        <v>1638</v>
      </c>
      <c r="I3" s="1045" t="s">
        <v>1639</v>
      </c>
    </row>
    <row r="4" spans="1:9" ht="30">
      <c r="A4" s="1974" t="str">
        <f>项目基本情况!S2</f>
        <v>北京市东城区香河园街1号11号楼房地产</v>
      </c>
      <c r="B4" s="1045">
        <f>项目基本情况!C17</f>
        <v>50120.32</v>
      </c>
      <c r="C4" s="1045">
        <f>项目基本情况!C18</f>
        <v>5235.2</v>
      </c>
      <c r="D4" s="1045">
        <f ca="1">结果表!D118</f>
        <v>154763</v>
      </c>
      <c r="E4" s="1045">
        <f ca="1">结果表!E118</f>
        <v>30879</v>
      </c>
      <c r="F4" s="1045">
        <f ca="1">结果表!F118</f>
        <v>30139</v>
      </c>
      <c r="G4" s="1045">
        <f ca="1">结果表!G118</f>
        <v>6013</v>
      </c>
      <c r="H4" s="1045">
        <f ca="1">结果表!H118</f>
        <v>184902</v>
      </c>
      <c r="I4" s="1045">
        <f ca="1">结果表!I118</f>
        <v>36892</v>
      </c>
    </row>
    <row r="5" spans="1:9" ht="30" customHeight="1">
      <c r="A5" s="2976" t="s">
        <v>1640</v>
      </c>
      <c r="B5" s="2976"/>
      <c r="C5" s="2976"/>
      <c r="D5" s="2977" t="str">
        <f ca="1">结果表!D119</f>
        <v>壹拾伍亿肆仟柒佰陆拾叁万元整</v>
      </c>
      <c r="E5" s="2977"/>
      <c r="F5" s="2977" t="str">
        <f ca="1">结果表!F119</f>
        <v>叁亿零壹佰叁拾玖万元整</v>
      </c>
      <c r="G5" s="2977"/>
      <c r="H5" s="2977" t="str">
        <f ca="1">结果表!H119</f>
        <v>壹拾捌亿肆仟玖佰零贰万元整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1640</v>
      </c>
      <c r="B7" s="2976"/>
      <c r="C7" s="2976"/>
      <c r="D7" s="2979" t="str">
        <f>结果表!D121</f>
        <v>零元整</v>
      </c>
      <c r="E7" s="2980"/>
      <c r="F7" s="2980"/>
      <c r="G7" s="2980"/>
      <c r="H7" s="2980"/>
      <c r="I7" s="2981"/>
    </row>
    <row r="8" spans="1:9" ht="15.75">
      <c r="A8" s="2978" t="str">
        <f>结果表!A122</f>
        <v>房地产抵押价值</v>
      </c>
      <c r="B8" s="2978"/>
      <c r="C8" s="2978"/>
      <c r="D8" s="2978">
        <f ca="1">结果表!D122</f>
        <v>184902</v>
      </c>
      <c r="E8" s="2978"/>
      <c r="F8" s="2978"/>
      <c r="G8" s="2978"/>
      <c r="H8" s="2978"/>
      <c r="I8" s="2978"/>
    </row>
    <row r="9" spans="1:9" ht="15">
      <c r="A9" s="2976" t="s">
        <v>1640</v>
      </c>
      <c r="B9" s="2976"/>
      <c r="C9" s="2976"/>
      <c r="D9" s="2977" t="str">
        <f ca="1">结果表!D123</f>
        <v>壹拾捌亿肆仟玖佰零贰万元整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1640</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D27" sqref="D27"/>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5" t="s">
        <v>1662</v>
      </c>
      <c r="B1" s="2985"/>
      <c r="C1" s="2985"/>
      <c r="D1" s="2985"/>
    </row>
    <row r="2" spans="1:4" ht="18">
      <c r="A2" s="2986" t="s">
        <v>1646</v>
      </c>
      <c r="B2" s="2986"/>
      <c r="C2" s="2986"/>
      <c r="D2" s="2986"/>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2986" t="s">
        <v>1652</v>
      </c>
      <c r="B6" s="2986"/>
      <c r="C6" s="2986"/>
      <c r="D6" s="2986"/>
    </row>
    <row r="7" spans="1:4" ht="18.75">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8.75">
      <c r="A10" s="1985" t="s">
        <v>1654</v>
      </c>
      <c r="B10" s="728"/>
      <c r="C10" s="728"/>
      <c r="D10" s="728"/>
    </row>
    <row r="11" spans="1:4" ht="30" customHeight="1">
      <c r="A11" s="2987" t="s">
        <v>1655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1656</v>
      </c>
      <c r="B16" s="2991"/>
      <c r="C16" s="2991"/>
      <c r="D16" s="2991"/>
    </row>
    <row r="17" spans="1:4" ht="144" customHeight="1">
      <c r="A17" s="2991" t="s">
        <v>1657</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1658</v>
      </c>
      <c r="B22" s="2993"/>
      <c r="C22" s="2993"/>
      <c r="D22" s="299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90">
        <v>43460</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99" t="s">
        <v>1669</v>
      </c>
      <c r="B15" s="2994" t="s">
        <v>136</v>
      </c>
      <c r="C15" s="2995"/>
    </row>
    <row r="16" spans="1:7" ht="13.5">
      <c r="A16" s="3000"/>
      <c r="B16" s="2994" t="s">
        <v>69</v>
      </c>
      <c r="C16" s="2995"/>
    </row>
    <row r="17" spans="1:3" ht="13.5">
      <c r="A17" s="3000"/>
      <c r="B17" s="2997" t="s">
        <v>1670</v>
      </c>
      <c r="C17" s="2001" t="s">
        <v>1669</v>
      </c>
    </row>
    <row r="18" spans="1:3" ht="13.5">
      <c r="A18" s="3000"/>
      <c r="B18" s="2997"/>
      <c r="C18" s="2001" t="s">
        <v>1671</v>
      </c>
    </row>
    <row r="19" spans="1:3" ht="13.5">
      <c r="A19" s="3000"/>
      <c r="B19" s="2997"/>
      <c r="C19" s="2001" t="s">
        <v>1672</v>
      </c>
    </row>
    <row r="20" spans="1:3" ht="13.5">
      <c r="A20" s="3001"/>
      <c r="B20" s="2996" t="s">
        <v>1673</v>
      </c>
      <c r="C20" s="2995"/>
    </row>
    <row r="21" spans="1:3" ht="13.5">
      <c r="A21" s="2002" t="s">
        <v>1674</v>
      </c>
      <c r="B21" s="2003"/>
      <c r="C21" s="2004"/>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2001" t="s">
        <v>1680</v>
      </c>
    </row>
    <row r="26" spans="1:3" ht="13.5">
      <c r="A26" s="2998"/>
      <c r="B26" s="2997"/>
      <c r="C26" s="2001" t="s">
        <v>1681</v>
      </c>
    </row>
    <row r="27" spans="1:3" ht="13.5">
      <c r="A27" s="2998"/>
      <c r="B27" s="2997"/>
      <c r="C27" s="2001" t="s">
        <v>1682</v>
      </c>
    </row>
    <row r="28" spans="1:3" ht="13.5">
      <c r="A28" s="2998"/>
      <c r="B28" s="2997"/>
      <c r="C28" s="2001" t="s">
        <v>1683</v>
      </c>
    </row>
    <row r="29" spans="1:3" ht="13.5">
      <c r="A29" s="2998"/>
      <c r="B29" s="2997"/>
      <c r="C29" s="2001" t="s">
        <v>1684</v>
      </c>
    </row>
    <row r="30" spans="1:3" ht="13.5">
      <c r="A30" s="2998"/>
      <c r="B30" s="2997"/>
      <c r="C30" s="2001" t="s">
        <v>1685</v>
      </c>
    </row>
    <row r="31" spans="1:3" ht="13.5">
      <c r="A31" s="2998"/>
      <c r="B31" s="2997"/>
      <c r="C31" s="2001" t="s">
        <v>1686</v>
      </c>
    </row>
    <row r="32" spans="1:3" ht="13.5">
      <c r="A32" s="2998"/>
      <c r="B32" s="2997"/>
      <c r="C32" s="2001" t="s">
        <v>1687</v>
      </c>
    </row>
    <row r="33" spans="1:3" ht="13.5">
      <c r="A33" s="2998"/>
      <c r="B33" s="299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43459</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f ca="1">IF(C10&lt;B2,"已过期",1120060040)</f>
        <v>1120060040</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t="s">
        <v>3042</v>
      </c>
      <c r="B12" s="1023">
        <v>1120110054</v>
      </c>
      <c r="C12" s="2940">
        <v>43937</v>
      </c>
      <c r="D12" s="1703" t="s">
        <v>3042</v>
      </c>
      <c r="E12" s="1023">
        <v>2008110060</v>
      </c>
      <c r="F12" s="1031">
        <v>47177</v>
      </c>
    </row>
    <row r="13" spans="1:6" ht="24" customHeight="1">
      <c r="A13" s="1703" t="s">
        <v>840</v>
      </c>
      <c r="B13" s="1023">
        <f ca="1">IF(C13&lt;B2,"已过期",1120070131)</f>
        <v>1120070131</v>
      </c>
      <c r="C13" s="2346">
        <v>43814</v>
      </c>
      <c r="D13" s="2349" t="s">
        <v>840</v>
      </c>
      <c r="E13" s="1023">
        <v>2014110011</v>
      </c>
      <c r="F13" s="1031">
        <v>49302</v>
      </c>
    </row>
    <row r="14" spans="1:6" ht="24" customHeight="1">
      <c r="A14" s="1703" t="s">
        <v>841</v>
      </c>
      <c r="B14" s="1023">
        <f ca="1">IF(C14&lt;B2,"已过期",1120130020)</f>
        <v>1120130020</v>
      </c>
      <c r="C14" s="2346">
        <v>43622</v>
      </c>
      <c r="D14" s="2349"/>
      <c r="E14" s="1023"/>
      <c r="F14" s="1023"/>
    </row>
    <row r="15" spans="1:6" ht="24" customHeight="1">
      <c r="A15" s="1704" t="s">
        <v>1149</v>
      </c>
      <c r="B15" s="1023">
        <v>1120070085</v>
      </c>
      <c r="C15" s="2346">
        <v>43814</v>
      </c>
      <c r="D15" s="2350" t="s">
        <v>1149</v>
      </c>
      <c r="E15" s="1023">
        <v>2004110128</v>
      </c>
      <c r="F15" s="1024">
        <v>47118</v>
      </c>
    </row>
    <row r="16" spans="1:6" ht="24" customHeight="1">
      <c r="A16" s="1703" t="s">
        <v>842</v>
      </c>
      <c r="B16" s="1023">
        <f ca="1">IF(C16&lt;B2,"已过期",1120140022)</f>
        <v>1120140022</v>
      </c>
      <c r="C16" s="2346">
        <v>44029</v>
      </c>
      <c r="D16" s="2349" t="s">
        <v>842</v>
      </c>
      <c r="E16" s="1023">
        <f ca="1">IF(F16&lt;B2,"已过期",2008110059)</f>
        <v>2008110059</v>
      </c>
      <c r="F16" s="1031">
        <v>47177</v>
      </c>
    </row>
    <row r="17" spans="1:7" ht="24" customHeight="1">
      <c r="A17" s="1703"/>
      <c r="B17" s="1023"/>
      <c r="C17" s="2346"/>
      <c r="D17" s="2349"/>
      <c r="E17" s="1023"/>
      <c r="F17" s="1031"/>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843</v>
      </c>
      <c r="E21" s="1023">
        <f ca="1">IF(F21&lt;B2,"已过期",2011110090)</f>
        <v>2011110090</v>
      </c>
      <c r="F21" s="1031">
        <v>48302</v>
      </c>
    </row>
    <row r="22" spans="1:7" ht="24" customHeight="1">
      <c r="A22" s="1703" t="s">
        <v>844</v>
      </c>
      <c r="B22" s="1023">
        <f ca="1">IF(C22&lt;B2,"已过期",1120020033)</f>
        <v>1120020033</v>
      </c>
      <c r="C22" s="2940">
        <v>44339</v>
      </c>
      <c r="D22" s="2349" t="s">
        <v>844</v>
      </c>
      <c r="E22" s="1023">
        <f ca="1">IF(F22&lt;B2,"已过期",2000110137)</f>
        <v>2000110137</v>
      </c>
      <c r="F22" s="1031">
        <v>46387</v>
      </c>
    </row>
    <row r="23" spans="1:7" ht="24" customHeight="1">
      <c r="A23" s="1703" t="s">
        <v>845</v>
      </c>
      <c r="B23" s="1023">
        <f ca="1">IF(C23&lt;B2,"已过期",1120130048)</f>
        <v>1120130048</v>
      </c>
      <c r="C23" s="2346">
        <v>43686</v>
      </c>
      <c r="D23" s="2349"/>
      <c r="E23" s="1023"/>
      <c r="F23" s="1023"/>
    </row>
    <row r="24" spans="1:7" s="1025" customFormat="1" ht="24" customHeight="1">
      <c r="A24" s="1704" t="s">
        <v>1333</v>
      </c>
      <c r="B24" s="1704" t="s">
        <v>1333</v>
      </c>
      <c r="C24" s="2347" t="s">
        <v>1333</v>
      </c>
      <c r="D24" s="2350" t="s">
        <v>1333</v>
      </c>
      <c r="E24" s="1704" t="s">
        <v>1333</v>
      </c>
      <c r="F24" s="1704" t="s">
        <v>1333</v>
      </c>
    </row>
    <row r="25" spans="1:7" ht="24" customHeight="1">
      <c r="A25" s="3002" t="s">
        <v>846</v>
      </c>
      <c r="B25" s="3002"/>
      <c r="C25" s="3002"/>
      <c r="D25" s="3002"/>
      <c r="E25" s="3002"/>
      <c r="F25" s="3002"/>
      <c r="G25" s="3002"/>
    </row>
    <row r="26" spans="1:7" s="1026" customFormat="1" ht="24" customHeight="1">
      <c r="A26" s="3003" t="s">
        <v>847</v>
      </c>
      <c r="B26" s="3003"/>
      <c r="C26" s="3004"/>
      <c r="D26" s="3005" t="s">
        <v>848</v>
      </c>
      <c r="E26" s="3003"/>
      <c r="F26" s="3003"/>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0" priority="66">
      <formula>AND($C28-TODAY()&lt;30,TODAY()&lt;$C28)</formula>
    </cfRule>
  </conditionalFormatting>
  <conditionalFormatting sqref="C28 F4">
    <cfRule type="cellIs" dxfId="199" priority="68" stopIfTrue="1" operator="lessThan">
      <formula>$B$2</formula>
    </cfRule>
  </conditionalFormatting>
  <conditionalFormatting sqref="C5">
    <cfRule type="expression" dxfId="198" priority="63">
      <formula>AND($C5-TODAY()&lt;30,TODAY()&lt;$C5)</formula>
    </cfRule>
  </conditionalFormatting>
  <conditionalFormatting sqref="C5 F5">
    <cfRule type="cellIs" dxfId="197" priority="64" stopIfTrue="1" operator="lessThan">
      <formula>$B$2</formula>
    </cfRule>
  </conditionalFormatting>
  <conditionalFormatting sqref="F6 F8 F10">
    <cfRule type="cellIs" dxfId="196" priority="62" stopIfTrue="1" operator="lessThan">
      <formula>$B$2</formula>
    </cfRule>
  </conditionalFormatting>
  <conditionalFormatting sqref="C4:C11 C13:C21 C23">
    <cfRule type="expression" dxfId="195" priority="60">
      <formula>AND($C4-TODAY()&lt;30,TODAY()&lt;$C4)</formula>
    </cfRule>
  </conditionalFormatting>
  <conditionalFormatting sqref="F7 F9 F11 C4:C11 C13:C21 C23">
    <cfRule type="cellIs" dxfId="194" priority="61" stopIfTrue="1" operator="lessThan">
      <formula>$B$2</formula>
    </cfRule>
  </conditionalFormatting>
  <conditionalFormatting sqref="C14">
    <cfRule type="expression" dxfId="193" priority="54">
      <formula>AND($C14-TODAY()&lt;30,TODAY()&lt;$C14)</formula>
    </cfRule>
  </conditionalFormatting>
  <conditionalFormatting sqref="C14">
    <cfRule type="cellIs" dxfId="192" priority="55" stopIfTrue="1" operator="lessThan">
      <formula>$B$2</formula>
    </cfRule>
  </conditionalFormatting>
  <conditionalFormatting sqref="C16">
    <cfRule type="expression" dxfId="191" priority="52">
      <formula>AND($C16-TODAY()&lt;30,TODAY()&lt;$C16)</formula>
    </cfRule>
  </conditionalFormatting>
  <conditionalFormatting sqref="C16">
    <cfRule type="cellIs" dxfId="190" priority="53" stopIfTrue="1" operator="lessThan">
      <formula>$B$2</formula>
    </cfRule>
  </conditionalFormatting>
  <conditionalFormatting sqref="C18">
    <cfRule type="expression" dxfId="189" priority="50">
      <formula>AND($C18-TODAY()&lt;30,TODAY()&lt;$C18)</formula>
    </cfRule>
  </conditionalFormatting>
  <conditionalFormatting sqref="C18">
    <cfRule type="cellIs" dxfId="188" priority="51" stopIfTrue="1" operator="lessThan">
      <formula>$B$2</formula>
    </cfRule>
  </conditionalFormatting>
  <conditionalFormatting sqref="C20">
    <cfRule type="expression" dxfId="187" priority="48">
      <formula>AND($C20-TODAY()&lt;30,TODAY()&lt;$C20)</formula>
    </cfRule>
  </conditionalFormatting>
  <conditionalFormatting sqref="C20">
    <cfRule type="cellIs" dxfId="186" priority="49" stopIfTrue="1" operator="lessThan">
      <formula>$B$2</formula>
    </cfRule>
  </conditionalFormatting>
  <conditionalFormatting sqref="C15">
    <cfRule type="expression" dxfId="185" priority="44">
      <formula>AND($C15-TODAY()&lt;30,TODAY()&lt;$C15)</formula>
    </cfRule>
  </conditionalFormatting>
  <conditionalFormatting sqref="C15">
    <cfRule type="cellIs" dxfId="184" priority="45" stopIfTrue="1" operator="lessThan">
      <formula>$B$2</formula>
    </cfRule>
  </conditionalFormatting>
  <conditionalFormatting sqref="C17">
    <cfRule type="expression" dxfId="183" priority="42">
      <formula>AND($C17-TODAY()&lt;30,TODAY()&lt;$C17)</formula>
    </cfRule>
  </conditionalFormatting>
  <conditionalFormatting sqref="C17">
    <cfRule type="cellIs" dxfId="182" priority="43" stopIfTrue="1" operator="lessThan">
      <formula>$B$2</formula>
    </cfRule>
  </conditionalFormatting>
  <conditionalFormatting sqref="C19">
    <cfRule type="expression" dxfId="181" priority="40">
      <formula>AND($C19-TODAY()&lt;30,TODAY()&lt;$C19)</formula>
    </cfRule>
  </conditionalFormatting>
  <conditionalFormatting sqref="C19">
    <cfRule type="cellIs" dxfId="180" priority="41" stopIfTrue="1" operator="lessThan">
      <formula>$B$2</formula>
    </cfRule>
  </conditionalFormatting>
  <conditionalFormatting sqref="C21">
    <cfRule type="expression" dxfId="179" priority="38">
      <formula>AND($C21-TODAY()&lt;30,TODAY()&lt;$C21)</formula>
    </cfRule>
  </conditionalFormatting>
  <conditionalFormatting sqref="C21">
    <cfRule type="cellIs" dxfId="178" priority="39" stopIfTrue="1" operator="lessThan">
      <formula>$B$2</formula>
    </cfRule>
  </conditionalFormatting>
  <conditionalFormatting sqref="C23">
    <cfRule type="expression" dxfId="177" priority="36">
      <formula>AND($C23-TODAY()&lt;30,TODAY()&lt;$C23)</formula>
    </cfRule>
  </conditionalFormatting>
  <conditionalFormatting sqref="C23">
    <cfRule type="cellIs" dxfId="176" priority="37" stopIfTrue="1" operator="lessThan">
      <formula>$B$2</formula>
    </cfRule>
  </conditionalFormatting>
  <conditionalFormatting sqref="F16">
    <cfRule type="cellIs" dxfId="175" priority="34" stopIfTrue="1" operator="lessThan">
      <formula>$B$2</formula>
    </cfRule>
  </conditionalFormatting>
  <conditionalFormatting sqref="F18">
    <cfRule type="cellIs" dxfId="174" priority="33" stopIfTrue="1" operator="lessThan">
      <formula>$B$2</formula>
    </cfRule>
  </conditionalFormatting>
  <conditionalFormatting sqref="F22">
    <cfRule type="cellIs" dxfId="173" priority="32" stopIfTrue="1" operator="lessThan">
      <formula>$B$2</formula>
    </cfRule>
  </conditionalFormatting>
  <conditionalFormatting sqref="F21">
    <cfRule type="cellIs" dxfId="172" priority="31" stopIfTrue="1" operator="lessThan">
      <formula>$B$2</formula>
    </cfRule>
  </conditionalFormatting>
  <conditionalFormatting sqref="F17">
    <cfRule type="cellIs" dxfId="171" priority="30" stopIfTrue="1" operator="lessThan">
      <formula>$B$2</formula>
    </cfRule>
  </conditionalFormatting>
  <conditionalFormatting sqref="B4:B11 E4:E11 B16:B23 E16:E23 B13:B14 E13:E14">
    <cfRule type="cellIs" dxfId="170" priority="29" stopIfTrue="1" operator="equal">
      <formula>"已过期"</formula>
    </cfRule>
  </conditionalFormatting>
  <conditionalFormatting sqref="A24:F24">
    <cfRule type="cellIs" dxfId="169" priority="25" stopIfTrue="1" operator="equal">
      <formula>"已过期"</formula>
    </cfRule>
  </conditionalFormatting>
  <conditionalFormatting sqref="F28">
    <cfRule type="expression" dxfId="168" priority="23">
      <formula>AND($E28-TODAY()&lt;30,TODAY()&lt;$E28)</formula>
    </cfRule>
  </conditionalFormatting>
  <conditionalFormatting sqref="F28">
    <cfRule type="cellIs" dxfId="167" priority="24" stopIfTrue="1" operator="lessThan">
      <formula>$B$2</formula>
    </cfRule>
  </conditionalFormatting>
  <conditionalFormatting sqref="F29">
    <cfRule type="expression" dxfId="166" priority="19" stopIfTrue="1">
      <formula>AND($E29-TODAY()&lt;30,TODAY()&lt;$E29)</formula>
    </cfRule>
  </conditionalFormatting>
  <conditionalFormatting sqref="F29">
    <cfRule type="cellIs" dxfId="165" priority="20" stopIfTrue="1" operator="lessThan">
      <formula>$B$2</formula>
    </cfRule>
  </conditionalFormatting>
  <conditionalFormatting sqref="B15">
    <cfRule type="cellIs" dxfId="164" priority="17" stopIfTrue="1" operator="equal">
      <formula>"已过期"</formula>
    </cfRule>
  </conditionalFormatting>
  <conditionalFormatting sqref="A15">
    <cfRule type="cellIs" dxfId="163" priority="16" stopIfTrue="1" operator="equal">
      <formula>"已过期"</formula>
    </cfRule>
  </conditionalFormatting>
  <conditionalFormatting sqref="C15">
    <cfRule type="expression" dxfId="162" priority="15">
      <formula>AND($C15-TODAY()&lt;30,TODAY()&lt;$C15)</formula>
    </cfRule>
  </conditionalFormatting>
  <conditionalFormatting sqref="E15">
    <cfRule type="cellIs" dxfId="161" priority="14" stopIfTrue="1" operator="equal">
      <formula>"已过期"</formula>
    </cfRule>
  </conditionalFormatting>
  <conditionalFormatting sqref="D15">
    <cfRule type="cellIs" dxfId="160" priority="13" stopIfTrue="1" operator="equal">
      <formula>"已过期"</formula>
    </cfRule>
  </conditionalFormatting>
  <conditionalFormatting sqref="F13">
    <cfRule type="cellIs" dxfId="159" priority="12" stopIfTrue="1" operator="lessThan">
      <formula>$B$2</formula>
    </cfRule>
  </conditionalFormatting>
  <conditionalFormatting sqref="C12">
    <cfRule type="expression" dxfId="158" priority="10">
      <formula>AND($C12-TODAY()&lt;30,TODAY()&lt;$C12)</formula>
    </cfRule>
  </conditionalFormatting>
  <conditionalFormatting sqref="C12">
    <cfRule type="cellIs" dxfId="157" priority="11" stopIfTrue="1" operator="lessThan">
      <formula>$B$2</formula>
    </cfRule>
  </conditionalFormatting>
  <conditionalFormatting sqref="C12">
    <cfRule type="expression" dxfId="156" priority="8">
      <formula>AND($C12-TODAY()&lt;30,TODAY()&lt;$C12)</formula>
    </cfRule>
  </conditionalFormatting>
  <conditionalFormatting sqref="C12">
    <cfRule type="cellIs" dxfId="155" priority="9" stopIfTrue="1" operator="lessThan">
      <formula>$B$2</formula>
    </cfRule>
  </conditionalFormatting>
  <conditionalFormatting sqref="B12">
    <cfRule type="cellIs" dxfId="154" priority="7" stopIfTrue="1" operator="equal">
      <formula>"已过期"</formula>
    </cfRule>
  </conditionalFormatting>
  <conditionalFormatting sqref="E12">
    <cfRule type="cellIs" dxfId="153" priority="6" stopIfTrue="1" operator="equal">
      <formula>"已过期"</formula>
    </cfRule>
  </conditionalFormatting>
  <conditionalFormatting sqref="F12">
    <cfRule type="cellIs" dxfId="152" priority="5" stopIfTrue="1" operator="lessThan">
      <formula>$B$2</formula>
    </cfRule>
  </conditionalFormatting>
  <conditionalFormatting sqref="C22">
    <cfRule type="expression" dxfId="151" priority="3">
      <formula>AND($C22-TODAY()&lt;30,TODAY()&lt;$C22)</formula>
    </cfRule>
  </conditionalFormatting>
  <conditionalFormatting sqref="C22">
    <cfRule type="cellIs" dxfId="150" priority="4" stopIfTrue="1" operator="lessThan">
      <formula>$B$2</formula>
    </cfRule>
  </conditionalFormatting>
  <conditionalFormatting sqref="C22">
    <cfRule type="expression" dxfId="149" priority="1">
      <formula>AND($C22-TODAY()&lt;30,TODAY()&lt;$C22)</formula>
    </cfRule>
  </conditionalFormatting>
  <conditionalFormatting sqref="C22">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租约</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收益法-办公未出租</vt:lpstr>
      <vt:lpstr>收益法-办公出租</vt:lpstr>
      <vt:lpstr>收益法-车库</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基准地价修正办公</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'收益法-办公出租'!Print_Area</vt:lpstr>
      <vt:lpstr>'收益法-办公未出租'!Print_Area</vt:lpstr>
      <vt:lpstr>'收益法-车库'!Print_Area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2018-12-25T08:50:26Z</dcterms:modified>
</cp:coreProperties>
</file>